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2021\FET-COVID\Gores\"/>
    </mc:Choice>
  </mc:AlternateContent>
  <bookViews>
    <workbookView xWindow="0" yWindow="0" windowWidth="24000" windowHeight="9735" activeTab="10"/>
  </bookViews>
  <sheets>
    <sheet name="0561" sheetId="10" r:id="rId1"/>
    <sheet name="0562" sheetId="6" r:id="rId2"/>
    <sheet name=" 0563" sheetId="3" r:id="rId3"/>
    <sheet name="0564" sheetId="4" r:id="rId4"/>
    <sheet name=" 0565" sheetId="12" r:id="rId5"/>
    <sheet name=" 0566" sheetId="8" r:id="rId6"/>
    <sheet name="0567" sheetId="16" r:id="rId7"/>
    <sheet name="0569" sheetId="18" r:id="rId8"/>
    <sheet name=" 0570" sheetId="11" r:id="rId9"/>
    <sheet name="0571" sheetId="15" r:id="rId10"/>
    <sheet name=" 0572" sheetId="1" r:id="rId11"/>
    <sheet name="0573" sheetId="17" r:id="rId12"/>
    <sheet name="0574" sheetId="5" r:id="rId13"/>
    <sheet name="0575" sheetId="9" r:id="rId14"/>
    <sheet name="0576" sheetId="7" r:id="rId15"/>
  </sheets>
  <externalReferences>
    <externalReference r:id="rId16"/>
    <externalReference r:id="rId17"/>
  </externalReferences>
  <definedNames>
    <definedName name="_xlnm._FilterDatabase" localSheetId="2" hidden="1">' 0563'!$B$15:$AU$87</definedName>
    <definedName name="_xlnm._FilterDatabase" localSheetId="4" hidden="1">' 0565'!$B$16:$AU$295</definedName>
    <definedName name="_xlnm._FilterDatabase" localSheetId="5" hidden="1">' 0566'!$A$15:$AU$100</definedName>
    <definedName name="_xlnm._FilterDatabase" localSheetId="8" hidden="1">' 0570'!$A$11:$AU$189</definedName>
    <definedName name="_xlnm._FilterDatabase" localSheetId="10" hidden="1">' 0572'!$B$15:$AU$122</definedName>
    <definedName name="_xlnm._FilterDatabase" localSheetId="0" hidden="1">'0561'!$B$15:$AU$77</definedName>
    <definedName name="_xlnm._FilterDatabase" localSheetId="1" hidden="1">'0562'!$A$15:$AV$65</definedName>
    <definedName name="_xlnm._FilterDatabase" localSheetId="3" hidden="1">'0564'!$A$15:$AU$115</definedName>
    <definedName name="_xlnm._FilterDatabase" localSheetId="6" hidden="1">'0567'!$A$15:$AU$106</definedName>
    <definedName name="_xlnm._FilterDatabase" localSheetId="7" hidden="1">'0569'!$Z$16:$AC$221</definedName>
    <definedName name="_xlnm._FilterDatabase" localSheetId="9" hidden="1">'0571'!$A$14:$AP$84</definedName>
    <definedName name="_xlnm._FilterDatabase" localSheetId="11" hidden="1">'0573'!$B$15:$AU$217</definedName>
    <definedName name="_xlnm._FilterDatabase" localSheetId="12" hidden="1">'0574'!$B$15:$AU$129</definedName>
    <definedName name="_xlnm._FilterDatabase" localSheetId="13" hidden="1">'0575'!$A$15:$GT$70</definedName>
    <definedName name="_xlnm._FilterDatabase" localSheetId="14" hidden="1">'0576'!$A$15:$AU$121</definedName>
    <definedName name="_xlnm.Print_Area" localSheetId="13">'0575'!$A$9:$AU$77</definedName>
    <definedName name="_xlnm.Print_Titles" localSheetId="6">'0567'!$B:$H,'0567'!$1:$15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P224" i="18" l="1"/>
  <c r="AL224" i="18"/>
  <c r="AH224" i="18"/>
  <c r="AD224" i="18"/>
  <c r="Z224" i="18"/>
  <c r="X224" i="18"/>
  <c r="W224" i="18"/>
  <c r="V224" i="18"/>
  <c r="U224" i="18"/>
  <c r="T224" i="18"/>
  <c r="S224" i="18"/>
  <c r="R224" i="18"/>
  <c r="Q224" i="18"/>
  <c r="P224" i="18"/>
  <c r="O224" i="18"/>
  <c r="N224" i="18"/>
  <c r="M224" i="18"/>
  <c r="L224" i="18"/>
  <c r="K224" i="18"/>
  <c r="J224" i="18"/>
  <c r="Y223" i="18"/>
  <c r="AT221" i="18"/>
  <c r="AU221" i="18" s="1"/>
  <c r="Y221" i="18"/>
  <c r="AT220" i="18"/>
  <c r="Y220" i="18"/>
  <c r="AT219" i="18"/>
  <c r="Y219" i="18"/>
  <c r="AT218" i="18"/>
  <c r="Y218" i="18"/>
  <c r="AT217" i="18"/>
  <c r="AU217" i="18" s="1"/>
  <c r="Y217" i="18"/>
  <c r="AT216" i="18"/>
  <c r="Y216" i="18"/>
  <c r="AT215" i="18"/>
  <c r="Y215" i="18"/>
  <c r="AT214" i="18"/>
  <c r="Y214" i="18"/>
  <c r="AT213" i="18"/>
  <c r="AU213" i="18" s="1"/>
  <c r="Y213" i="18"/>
  <c r="AT212" i="18"/>
  <c r="Y212" i="18"/>
  <c r="AT211" i="18"/>
  <c r="Y211" i="18"/>
  <c r="AT210" i="18"/>
  <c r="Y210" i="18"/>
  <c r="AT209" i="18"/>
  <c r="AU209" i="18" s="1"/>
  <c r="Y209" i="18"/>
  <c r="AT208" i="18"/>
  <c r="Y208" i="18"/>
  <c r="AT207" i="18"/>
  <c r="Y207" i="18"/>
  <c r="AT206" i="18"/>
  <c r="Y206" i="18"/>
  <c r="AT205" i="18"/>
  <c r="AU205" i="18" s="1"/>
  <c r="Y205" i="18"/>
  <c r="AT204" i="18"/>
  <c r="Y204" i="18"/>
  <c r="AT203" i="18"/>
  <c r="Y203" i="18"/>
  <c r="AT202" i="18"/>
  <c r="Y202" i="18"/>
  <c r="AT201" i="18"/>
  <c r="AU201" i="18" s="1"/>
  <c r="Y201" i="18"/>
  <c r="AT200" i="18"/>
  <c r="Y200" i="18"/>
  <c r="AT199" i="18"/>
  <c r="Y199" i="18"/>
  <c r="AT198" i="18"/>
  <c r="Y198" i="18"/>
  <c r="AT197" i="18"/>
  <c r="AU197" i="18" s="1"/>
  <c r="Y197" i="18"/>
  <c r="AT196" i="18"/>
  <c r="Y196" i="18"/>
  <c r="AT195" i="18"/>
  <c r="Y195" i="18"/>
  <c r="AT194" i="18"/>
  <c r="Y194" i="18"/>
  <c r="AT193" i="18"/>
  <c r="AU193" i="18" s="1"/>
  <c r="Y193" i="18"/>
  <c r="AT192" i="18"/>
  <c r="Y192" i="18"/>
  <c r="AT191" i="18"/>
  <c r="Y191" i="18"/>
  <c r="AT190" i="18"/>
  <c r="Y190" i="18"/>
  <c r="AT189" i="18"/>
  <c r="AU189" i="18" s="1"/>
  <c r="Y189" i="18"/>
  <c r="AT188" i="18"/>
  <c r="Y188" i="18"/>
  <c r="AT187" i="18"/>
  <c r="Y187" i="18"/>
  <c r="AT186" i="18"/>
  <c r="Y186" i="18"/>
  <c r="AT185" i="18"/>
  <c r="AU185" i="18" s="1"/>
  <c r="Y185" i="18"/>
  <c r="AT184" i="18"/>
  <c r="Y184" i="18"/>
  <c r="AT183" i="18"/>
  <c r="Y183" i="18"/>
  <c r="AT182" i="18"/>
  <c r="Y182" i="18"/>
  <c r="AT181" i="18"/>
  <c r="AU181" i="18" s="1"/>
  <c r="Y181" i="18"/>
  <c r="AT180" i="18"/>
  <c r="Y180" i="18"/>
  <c r="AT179" i="18"/>
  <c r="Y179" i="18"/>
  <c r="AT178" i="18"/>
  <c r="Y178" i="18"/>
  <c r="AT177" i="18"/>
  <c r="AU177" i="18" s="1"/>
  <c r="Y177" i="18"/>
  <c r="AT176" i="18"/>
  <c r="Y176" i="18"/>
  <c r="AT175" i="18"/>
  <c r="Y175" i="18"/>
  <c r="AT174" i="18"/>
  <c r="Y174" i="18"/>
  <c r="AT173" i="18"/>
  <c r="AU173" i="18" s="1"/>
  <c r="Y173" i="18"/>
  <c r="AT172" i="18"/>
  <c r="Y172" i="18"/>
  <c r="AT171" i="18"/>
  <c r="Y171" i="18"/>
  <c r="AT170" i="18"/>
  <c r="Y170" i="18"/>
  <c r="AT169" i="18"/>
  <c r="AU169" i="18" s="1"/>
  <c r="Y169" i="18"/>
  <c r="AT168" i="18"/>
  <c r="Y168" i="18"/>
  <c r="AT167" i="18"/>
  <c r="Y167" i="18"/>
  <c r="AT166" i="18"/>
  <c r="Y166" i="18"/>
  <c r="AT165" i="18"/>
  <c r="AU165" i="18" s="1"/>
  <c r="Y165" i="18"/>
  <c r="AT164" i="18"/>
  <c r="Y164" i="18"/>
  <c r="AT163" i="18"/>
  <c r="Y163" i="18"/>
  <c r="AT162" i="18"/>
  <c r="Y162" i="18"/>
  <c r="AT161" i="18"/>
  <c r="AU161" i="18" s="1"/>
  <c r="Y161" i="18"/>
  <c r="AT160" i="18"/>
  <c r="Y160" i="18"/>
  <c r="AT159" i="18"/>
  <c r="Y159" i="18"/>
  <c r="AT158" i="18"/>
  <c r="Y158" i="18"/>
  <c r="AT157" i="18"/>
  <c r="AU157" i="18" s="1"/>
  <c r="Y157" i="18"/>
  <c r="AT156" i="18"/>
  <c r="Y156" i="18"/>
  <c r="AT155" i="18"/>
  <c r="Y155" i="18"/>
  <c r="AT154" i="18"/>
  <c r="Y154" i="18"/>
  <c r="AT153" i="18"/>
  <c r="AU153" i="18" s="1"/>
  <c r="Y153" i="18"/>
  <c r="AT152" i="18"/>
  <c r="Y152" i="18"/>
  <c r="AT151" i="18"/>
  <c r="Y151" i="18"/>
  <c r="AT150" i="18"/>
  <c r="Y150" i="18"/>
  <c r="AT149" i="18"/>
  <c r="AU149" i="18" s="1"/>
  <c r="Y149" i="18"/>
  <c r="AT148" i="18"/>
  <c r="Y148" i="18"/>
  <c r="AT147" i="18"/>
  <c r="Y147" i="18"/>
  <c r="AT146" i="18"/>
  <c r="Y146" i="18"/>
  <c r="AT145" i="18"/>
  <c r="AU145" i="18" s="1"/>
  <c r="Y145" i="18"/>
  <c r="AT144" i="18"/>
  <c r="Y144" i="18"/>
  <c r="AT143" i="18"/>
  <c r="Y143" i="18"/>
  <c r="AT142" i="18"/>
  <c r="Y142" i="18"/>
  <c r="AT141" i="18"/>
  <c r="AU141" i="18" s="1"/>
  <c r="Y141" i="18"/>
  <c r="AT140" i="18"/>
  <c r="Y140" i="18"/>
  <c r="AT139" i="18"/>
  <c r="Y139" i="18"/>
  <c r="AT138" i="18"/>
  <c r="Y138" i="18"/>
  <c r="AU137" i="18"/>
  <c r="AT137" i="18"/>
  <c r="Y137" i="18"/>
  <c r="AU136" i="18"/>
  <c r="AT136" i="18"/>
  <c r="Y136" i="18"/>
  <c r="AU135" i="18"/>
  <c r="AT135" i="18"/>
  <c r="Y135" i="18"/>
  <c r="AU134" i="18"/>
  <c r="AT134" i="18"/>
  <c r="Y134" i="18"/>
  <c r="AU133" i="18"/>
  <c r="AT133" i="18"/>
  <c r="Y133" i="18"/>
  <c r="AU132" i="18"/>
  <c r="AT132" i="18"/>
  <c r="Y132" i="18"/>
  <c r="AU131" i="18"/>
  <c r="AT131" i="18"/>
  <c r="Y131" i="18"/>
  <c r="AU130" i="18"/>
  <c r="AT130" i="18"/>
  <c r="Y130" i="18"/>
  <c r="AU129" i="18"/>
  <c r="AT129" i="18"/>
  <c r="Y129" i="18"/>
  <c r="AU128" i="18"/>
  <c r="AT128" i="18"/>
  <c r="Y128" i="18"/>
  <c r="AU127" i="18"/>
  <c r="AT127" i="18"/>
  <c r="Y127" i="18"/>
  <c r="AU126" i="18"/>
  <c r="AT126" i="18"/>
  <c r="Y126" i="18"/>
  <c r="AU125" i="18"/>
  <c r="AT125" i="18"/>
  <c r="Y125" i="18"/>
  <c r="AU124" i="18"/>
  <c r="AT124" i="18"/>
  <c r="Y124" i="18"/>
  <c r="AU123" i="18"/>
  <c r="AT123" i="18"/>
  <c r="Y123" i="18"/>
  <c r="AU122" i="18"/>
  <c r="AT122" i="18"/>
  <c r="Y122" i="18"/>
  <c r="AU121" i="18"/>
  <c r="AT121" i="18"/>
  <c r="Y121" i="18"/>
  <c r="AU120" i="18"/>
  <c r="AT120" i="18"/>
  <c r="Y120" i="18"/>
  <c r="AU119" i="18"/>
  <c r="AT119" i="18"/>
  <c r="Y119" i="18"/>
  <c r="AU118" i="18"/>
  <c r="AT118" i="18"/>
  <c r="Y118" i="18"/>
  <c r="AU117" i="18"/>
  <c r="AT117" i="18"/>
  <c r="Y117" i="18"/>
  <c r="AU116" i="18"/>
  <c r="AT116" i="18"/>
  <c r="Y116" i="18"/>
  <c r="AU115" i="18"/>
  <c r="AT115" i="18"/>
  <c r="Y115" i="18"/>
  <c r="AU114" i="18"/>
  <c r="AT114" i="18"/>
  <c r="Y114" i="18"/>
  <c r="AU113" i="18"/>
  <c r="AT113" i="18"/>
  <c r="Y113" i="18"/>
  <c r="AU112" i="18"/>
  <c r="AT112" i="18"/>
  <c r="Y112" i="18"/>
  <c r="AU111" i="18"/>
  <c r="AT111" i="18"/>
  <c r="Y111" i="18"/>
  <c r="AU110" i="18"/>
  <c r="AT110" i="18"/>
  <c r="Y110" i="18"/>
  <c r="AU109" i="18"/>
  <c r="AT109" i="18"/>
  <c r="Y109" i="18"/>
  <c r="AU108" i="18"/>
  <c r="AT108" i="18"/>
  <c r="Y108" i="18"/>
  <c r="AU107" i="18"/>
  <c r="AT107" i="18"/>
  <c r="Y107" i="18"/>
  <c r="AU106" i="18"/>
  <c r="AT106" i="18"/>
  <c r="Y106" i="18"/>
  <c r="AU105" i="18"/>
  <c r="AT105" i="18"/>
  <c r="Y105" i="18"/>
  <c r="AU104" i="18"/>
  <c r="AT104" i="18"/>
  <c r="Y104" i="18"/>
  <c r="AU103" i="18"/>
  <c r="AT103" i="18"/>
  <c r="Y103" i="18"/>
  <c r="AU102" i="18"/>
  <c r="AT102" i="18"/>
  <c r="Y102" i="18"/>
  <c r="AU101" i="18"/>
  <c r="AT101" i="18"/>
  <c r="Y101" i="18"/>
  <c r="AU100" i="18"/>
  <c r="AT100" i="18"/>
  <c r="Y100" i="18"/>
  <c r="AU99" i="18"/>
  <c r="AT99" i="18"/>
  <c r="Y99" i="18"/>
  <c r="AU98" i="18"/>
  <c r="AT98" i="18"/>
  <c r="Y98" i="18"/>
  <c r="AU97" i="18"/>
  <c r="AT97" i="18"/>
  <c r="Y97" i="18"/>
  <c r="AU96" i="18"/>
  <c r="AT96" i="18"/>
  <c r="Y96" i="18"/>
  <c r="AU95" i="18"/>
  <c r="AT95" i="18"/>
  <c r="Y95" i="18"/>
  <c r="AU94" i="18"/>
  <c r="AT94" i="18"/>
  <c r="Y94" i="18"/>
  <c r="AU93" i="18"/>
  <c r="AT93" i="18"/>
  <c r="Y93" i="18"/>
  <c r="AU92" i="18"/>
  <c r="AT92" i="18"/>
  <c r="Y92" i="18"/>
  <c r="AU91" i="18"/>
  <c r="AT91" i="18"/>
  <c r="Y91" i="18"/>
  <c r="AU90" i="18"/>
  <c r="AT90" i="18"/>
  <c r="Y90" i="18"/>
  <c r="AU89" i="18"/>
  <c r="AT89" i="18"/>
  <c r="Y89" i="18"/>
  <c r="AU88" i="18"/>
  <c r="AT88" i="18"/>
  <c r="Y88" i="18"/>
  <c r="AU87" i="18"/>
  <c r="AT87" i="18"/>
  <c r="Y87" i="18"/>
  <c r="AU86" i="18"/>
  <c r="AT86" i="18"/>
  <c r="Y86" i="18"/>
  <c r="AU85" i="18"/>
  <c r="AT85" i="18"/>
  <c r="Y85" i="18"/>
  <c r="AU84" i="18"/>
  <c r="AT84" i="18"/>
  <c r="Y84" i="18"/>
  <c r="AU83" i="18"/>
  <c r="AT83" i="18"/>
  <c r="Y83" i="18"/>
  <c r="AU82" i="18"/>
  <c r="AT82" i="18"/>
  <c r="Y82" i="18"/>
  <c r="AU81" i="18"/>
  <c r="AT81" i="18"/>
  <c r="Y81" i="18"/>
  <c r="AU80" i="18"/>
  <c r="AT80" i="18"/>
  <c r="Y80" i="18"/>
  <c r="AU79" i="18"/>
  <c r="AT79" i="18"/>
  <c r="Y79" i="18"/>
  <c r="AU78" i="18"/>
  <c r="AT78" i="18"/>
  <c r="Y78" i="18"/>
  <c r="AU77" i="18"/>
  <c r="AT77" i="18"/>
  <c r="Y77" i="18"/>
  <c r="AU76" i="18"/>
  <c r="AT76" i="18"/>
  <c r="Y76" i="18"/>
  <c r="AU75" i="18"/>
  <c r="AT75" i="18"/>
  <c r="Y75" i="18"/>
  <c r="AU74" i="18"/>
  <c r="AT74" i="18"/>
  <c r="Y74" i="18"/>
  <c r="AU73" i="18"/>
  <c r="AT73" i="18"/>
  <c r="Y73" i="18"/>
  <c r="AU72" i="18"/>
  <c r="AT72" i="18"/>
  <c r="Y72" i="18"/>
  <c r="AU71" i="18"/>
  <c r="AT71" i="18"/>
  <c r="Y71" i="18"/>
  <c r="AU70" i="18"/>
  <c r="AT70" i="18"/>
  <c r="Y70" i="18"/>
  <c r="AU69" i="18"/>
  <c r="AT69" i="18"/>
  <c r="Y69" i="18"/>
  <c r="AU68" i="18"/>
  <c r="AT68" i="18"/>
  <c r="Y68" i="18"/>
  <c r="AU67" i="18"/>
  <c r="AT67" i="18"/>
  <c r="Y67" i="18"/>
  <c r="AU66" i="18"/>
  <c r="AT66" i="18"/>
  <c r="Y66" i="18"/>
  <c r="AU65" i="18"/>
  <c r="AT65" i="18"/>
  <c r="Y65" i="18"/>
  <c r="AU64" i="18"/>
  <c r="AT64" i="18"/>
  <c r="Y64" i="18"/>
  <c r="AU63" i="18"/>
  <c r="AT63" i="18"/>
  <c r="Y63" i="18"/>
  <c r="AU62" i="18"/>
  <c r="AT62" i="18"/>
  <c r="Y62" i="18"/>
  <c r="AU61" i="18"/>
  <c r="AT61" i="18"/>
  <c r="Y61" i="18"/>
  <c r="AU60" i="18"/>
  <c r="AT60" i="18"/>
  <c r="Y60" i="18"/>
  <c r="AU59" i="18"/>
  <c r="AT59" i="18"/>
  <c r="Y59" i="18"/>
  <c r="AU58" i="18"/>
  <c r="AT58" i="18"/>
  <c r="Y58" i="18"/>
  <c r="AU57" i="18"/>
  <c r="AT57" i="18"/>
  <c r="Y57" i="18"/>
  <c r="AU56" i="18"/>
  <c r="AT56" i="18"/>
  <c r="Y56" i="18"/>
  <c r="AU55" i="18"/>
  <c r="AT55" i="18"/>
  <c r="Y55" i="18"/>
  <c r="AU54" i="18"/>
  <c r="AT54" i="18"/>
  <c r="Y54" i="18"/>
  <c r="AU53" i="18"/>
  <c r="AT53" i="18"/>
  <c r="Y53" i="18"/>
  <c r="AU52" i="18"/>
  <c r="AT52" i="18"/>
  <c r="Y52" i="18"/>
  <c r="AU51" i="18"/>
  <c r="AT51" i="18"/>
  <c r="Y51" i="18"/>
  <c r="AU50" i="18"/>
  <c r="AT50" i="18"/>
  <c r="Y50" i="18"/>
  <c r="AU49" i="18"/>
  <c r="AT49" i="18"/>
  <c r="Y49" i="18"/>
  <c r="AU48" i="18"/>
  <c r="AT48" i="18"/>
  <c r="Y48" i="18"/>
  <c r="AU47" i="18"/>
  <c r="AT47" i="18"/>
  <c r="Y47" i="18"/>
  <c r="AU46" i="18"/>
  <c r="AT46" i="18"/>
  <c r="Y46" i="18"/>
  <c r="AU45" i="18"/>
  <c r="AT45" i="18"/>
  <c r="Y45" i="18"/>
  <c r="AU44" i="18"/>
  <c r="AT44" i="18"/>
  <c r="Y44" i="18"/>
  <c r="AU43" i="18"/>
  <c r="AT43" i="18"/>
  <c r="Y43" i="18"/>
  <c r="AU42" i="18"/>
  <c r="AT42" i="18"/>
  <c r="Y42" i="18"/>
  <c r="AU41" i="18"/>
  <c r="AT41" i="18"/>
  <c r="Y41" i="18"/>
  <c r="AU40" i="18"/>
  <c r="AT40" i="18"/>
  <c r="Y40" i="18"/>
  <c r="AU39" i="18"/>
  <c r="AT39" i="18"/>
  <c r="Y39" i="18"/>
  <c r="AU38" i="18"/>
  <c r="AT38" i="18"/>
  <c r="Y38" i="18"/>
  <c r="AU37" i="18"/>
  <c r="AT37" i="18"/>
  <c r="Y37" i="18"/>
  <c r="AU36" i="18"/>
  <c r="AT36" i="18"/>
  <c r="Y36" i="18"/>
  <c r="AU35" i="18"/>
  <c r="AT35" i="18"/>
  <c r="Y35" i="18"/>
  <c r="AU34" i="18"/>
  <c r="AT34" i="18"/>
  <c r="Y34" i="18"/>
  <c r="AU33" i="18"/>
  <c r="AT33" i="18"/>
  <c r="Y33" i="18"/>
  <c r="AU32" i="18"/>
  <c r="AT32" i="18"/>
  <c r="Y32" i="18"/>
  <c r="AU31" i="18"/>
  <c r="AT31" i="18"/>
  <c r="Y31" i="18"/>
  <c r="AU30" i="18"/>
  <c r="AT30" i="18"/>
  <c r="Y30" i="18"/>
  <c r="AU29" i="18"/>
  <c r="AT29" i="18"/>
  <c r="Y29" i="18"/>
  <c r="AU28" i="18"/>
  <c r="AT28" i="18"/>
  <c r="Y28" i="18"/>
  <c r="AU27" i="18"/>
  <c r="AT27" i="18"/>
  <c r="Y27" i="18"/>
  <c r="AU26" i="18"/>
  <c r="AT26" i="18"/>
  <c r="Y26" i="18"/>
  <c r="AU25" i="18"/>
  <c r="AT25" i="18"/>
  <c r="Y25" i="18"/>
  <c r="AU24" i="18"/>
  <c r="AT24" i="18"/>
  <c r="Y24" i="18"/>
  <c r="AU23" i="18"/>
  <c r="AT23" i="18"/>
  <c r="Y23" i="18"/>
  <c r="AU22" i="18"/>
  <c r="AT22" i="18"/>
  <c r="Y22" i="18"/>
  <c r="AU21" i="18"/>
  <c r="AT21" i="18"/>
  <c r="Y21" i="18"/>
  <c r="AU20" i="18"/>
  <c r="AT20" i="18"/>
  <c r="Y20" i="18"/>
  <c r="AU19" i="18"/>
  <c r="AT19" i="18"/>
  <c r="Y19" i="18"/>
  <c r="B19" i="18"/>
  <c r="B20" i="18" s="1"/>
  <c r="B21" i="18" s="1"/>
  <c r="B22" i="18" s="1"/>
  <c r="B23" i="18" s="1"/>
  <c r="B24" i="18" s="1"/>
  <c r="B25" i="18" s="1"/>
  <c r="B26" i="18" s="1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43" i="18" s="1"/>
  <c r="B44" i="18" s="1"/>
  <c r="B45" i="18" s="1"/>
  <c r="B46" i="18" s="1"/>
  <c r="B47" i="18" s="1"/>
  <c r="B48" i="18" s="1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B66" i="18" s="1"/>
  <c r="B67" i="18" s="1"/>
  <c r="B68" i="18" s="1"/>
  <c r="B69" i="18" s="1"/>
  <c r="B70" i="18" s="1"/>
  <c r="B71" i="18" s="1"/>
  <c r="B72" i="18" s="1"/>
  <c r="B73" i="18" s="1"/>
  <c r="B74" i="18" s="1"/>
  <c r="B75" i="18" s="1"/>
  <c r="B76" i="18" s="1"/>
  <c r="B77" i="18" s="1"/>
  <c r="B78" i="18" s="1"/>
  <c r="B79" i="18" s="1"/>
  <c r="B80" i="18" s="1"/>
  <c r="B81" i="18" s="1"/>
  <c r="B82" i="18" s="1"/>
  <c r="B83" i="18" s="1"/>
  <c r="B84" i="18" s="1"/>
  <c r="B85" i="18" s="1"/>
  <c r="B86" i="18" s="1"/>
  <c r="B87" i="18" s="1"/>
  <c r="B88" i="18" s="1"/>
  <c r="B89" i="18" s="1"/>
  <c r="B90" i="18" s="1"/>
  <c r="B91" i="18" s="1"/>
  <c r="B92" i="18" s="1"/>
  <c r="B93" i="18" s="1"/>
  <c r="B94" i="18" s="1"/>
  <c r="B95" i="18" s="1"/>
  <c r="B96" i="18" s="1"/>
  <c r="B97" i="18" s="1"/>
  <c r="B98" i="18" s="1"/>
  <c r="B99" i="18" s="1"/>
  <c r="B100" i="18" s="1"/>
  <c r="B101" i="18" s="1"/>
  <c r="B102" i="18" s="1"/>
  <c r="B103" i="18" s="1"/>
  <c r="B104" i="18" s="1"/>
  <c r="B105" i="18" s="1"/>
  <c r="B106" i="18" s="1"/>
  <c r="B107" i="18" s="1"/>
  <c r="B108" i="18" s="1"/>
  <c r="B109" i="18" s="1"/>
  <c r="B110" i="18" s="1"/>
  <c r="B111" i="18" s="1"/>
  <c r="B112" i="18" s="1"/>
  <c r="B113" i="18" s="1"/>
  <c r="B114" i="18" s="1"/>
  <c r="B115" i="18" s="1"/>
  <c r="B116" i="18" s="1"/>
  <c r="B117" i="18" s="1"/>
  <c r="B118" i="18" s="1"/>
  <c r="B119" i="18" s="1"/>
  <c r="B120" i="18" s="1"/>
  <c r="B121" i="18" s="1"/>
  <c r="B122" i="18" s="1"/>
  <c r="B123" i="18" s="1"/>
  <c r="B124" i="18" s="1"/>
  <c r="B125" i="18" s="1"/>
  <c r="B126" i="18" s="1"/>
  <c r="B127" i="18" s="1"/>
  <c r="B128" i="18" s="1"/>
  <c r="B129" i="18" s="1"/>
  <c r="B130" i="18" s="1"/>
  <c r="B131" i="18" s="1"/>
  <c r="B132" i="18" s="1"/>
  <c r="B133" i="18" s="1"/>
  <c r="B134" i="18" s="1"/>
  <c r="B135" i="18" s="1"/>
  <c r="B136" i="18" s="1"/>
  <c r="B137" i="18" s="1"/>
  <c r="B138" i="18" s="1"/>
  <c r="B139" i="18" s="1"/>
  <c r="B140" i="18" s="1"/>
  <c r="B141" i="18" s="1"/>
  <c r="B142" i="18" s="1"/>
  <c r="B143" i="18" s="1"/>
  <c r="B144" i="18" s="1"/>
  <c r="B145" i="18" s="1"/>
  <c r="B146" i="18" s="1"/>
  <c r="B147" i="18" s="1"/>
  <c r="B148" i="18" s="1"/>
  <c r="B149" i="18" s="1"/>
  <c r="B150" i="18" s="1"/>
  <c r="B151" i="18" s="1"/>
  <c r="B152" i="18" s="1"/>
  <c r="B153" i="18" s="1"/>
  <c r="B154" i="18" s="1"/>
  <c r="B155" i="18" s="1"/>
  <c r="B156" i="18" s="1"/>
  <c r="B157" i="18" s="1"/>
  <c r="B158" i="18" s="1"/>
  <c r="B159" i="18" s="1"/>
  <c r="B160" i="18" s="1"/>
  <c r="B161" i="18" s="1"/>
  <c r="B162" i="18" s="1"/>
  <c r="B163" i="18" s="1"/>
  <c r="B164" i="18" s="1"/>
  <c r="B165" i="18" s="1"/>
  <c r="B166" i="18" s="1"/>
  <c r="B167" i="18" s="1"/>
  <c r="B168" i="18" s="1"/>
  <c r="B169" i="18" s="1"/>
  <c r="B170" i="18" s="1"/>
  <c r="B171" i="18" s="1"/>
  <c r="B172" i="18" s="1"/>
  <c r="B173" i="18" s="1"/>
  <c r="B174" i="18" s="1"/>
  <c r="B175" i="18" s="1"/>
  <c r="B176" i="18" s="1"/>
  <c r="B177" i="18" s="1"/>
  <c r="B178" i="18" s="1"/>
  <c r="B179" i="18" s="1"/>
  <c r="B180" i="18" s="1"/>
  <c r="B181" i="18" s="1"/>
  <c r="B182" i="18" s="1"/>
  <c r="B183" i="18" s="1"/>
  <c r="B184" i="18" s="1"/>
  <c r="B185" i="18" s="1"/>
  <c r="B186" i="18" s="1"/>
  <c r="B187" i="18" s="1"/>
  <c r="B188" i="18" s="1"/>
  <c r="B189" i="18" s="1"/>
  <c r="B190" i="18" s="1"/>
  <c r="B191" i="18" s="1"/>
  <c r="B192" i="18" s="1"/>
  <c r="B193" i="18" s="1"/>
  <c r="B194" i="18" s="1"/>
  <c r="B195" i="18" s="1"/>
  <c r="B196" i="18" s="1"/>
  <c r="B197" i="18" s="1"/>
  <c r="B198" i="18" s="1"/>
  <c r="B199" i="18" s="1"/>
  <c r="B200" i="18" s="1"/>
  <c r="B201" i="18" s="1"/>
  <c r="B202" i="18" s="1"/>
  <c r="B203" i="18" s="1"/>
  <c r="B204" i="18" s="1"/>
  <c r="B205" i="18" s="1"/>
  <c r="B206" i="18" s="1"/>
  <c r="B207" i="18" s="1"/>
  <c r="B208" i="18" s="1"/>
  <c r="B209" i="18" s="1"/>
  <c r="B210" i="18" s="1"/>
  <c r="B211" i="18" s="1"/>
  <c r="B212" i="18" s="1"/>
  <c r="B213" i="18" s="1"/>
  <c r="B214" i="18" s="1"/>
  <c r="B215" i="18" s="1"/>
  <c r="B216" i="18" s="1"/>
  <c r="B217" i="18" s="1"/>
  <c r="B218" i="18" s="1"/>
  <c r="B219" i="18" s="1"/>
  <c r="B220" i="18" s="1"/>
  <c r="B221" i="18" s="1"/>
  <c r="AU18" i="18"/>
  <c r="AT18" i="18"/>
  <c r="Y18" i="18"/>
  <c r="AT17" i="18"/>
  <c r="Y17" i="18"/>
  <c r="Y224" i="18" l="1"/>
  <c r="E13" i="18" s="1"/>
  <c r="AT224" i="18"/>
  <c r="AU17" i="18"/>
  <c r="AU140" i="18"/>
  <c r="AU144" i="18"/>
  <c r="AU148" i="18"/>
  <c r="AU152" i="18"/>
  <c r="AU156" i="18"/>
  <c r="AU160" i="18"/>
  <c r="AU164" i="18"/>
  <c r="AU168" i="18"/>
  <c r="AU172" i="18"/>
  <c r="AU176" i="18"/>
  <c r="AU180" i="18"/>
  <c r="AU184" i="18"/>
  <c r="AU188" i="18"/>
  <c r="AU192" i="18"/>
  <c r="AU196" i="18"/>
  <c r="AU200" i="18"/>
  <c r="AU204" i="18"/>
  <c r="AU208" i="18"/>
  <c r="AU212" i="18"/>
  <c r="AU216" i="18"/>
  <c r="AU220" i="18"/>
  <c r="AU139" i="18"/>
  <c r="AU143" i="18"/>
  <c r="AU147" i="18"/>
  <c r="AU151" i="18"/>
  <c r="AU155" i="18"/>
  <c r="AU159" i="18"/>
  <c r="AU163" i="18"/>
  <c r="AU167" i="18"/>
  <c r="AU171" i="18"/>
  <c r="AU175" i="18"/>
  <c r="AU179" i="18"/>
  <c r="AU183" i="18"/>
  <c r="AU187" i="18"/>
  <c r="AU191" i="18"/>
  <c r="AU195" i="18"/>
  <c r="AU199" i="18"/>
  <c r="AU203" i="18"/>
  <c r="AU207" i="18"/>
  <c r="AU211" i="18"/>
  <c r="AU215" i="18"/>
  <c r="AU219" i="18"/>
  <c r="AU138" i="18"/>
  <c r="AU142" i="18"/>
  <c r="AU146" i="18"/>
  <c r="AU150" i="18"/>
  <c r="AU154" i="18"/>
  <c r="AU158" i="18"/>
  <c r="AU162" i="18"/>
  <c r="AU166" i="18"/>
  <c r="AU170" i="18"/>
  <c r="AU174" i="18"/>
  <c r="AU178" i="18"/>
  <c r="AU182" i="18"/>
  <c r="AU186" i="18"/>
  <c r="AU190" i="18"/>
  <c r="AU194" i="18"/>
  <c r="AU198" i="18"/>
  <c r="AU202" i="18"/>
  <c r="AU206" i="18"/>
  <c r="AU210" i="18"/>
  <c r="AU214" i="18"/>
  <c r="AU218" i="18"/>
  <c r="AU224" i="18" l="1"/>
  <c r="AQ219" i="17" l="1"/>
  <c r="AP219" i="17"/>
  <c r="AM219" i="17"/>
  <c r="AL219" i="17"/>
  <c r="AI219" i="17"/>
  <c r="AH219" i="17"/>
  <c r="AE219" i="17"/>
  <c r="AD219" i="17"/>
  <c r="AA219" i="17"/>
  <c r="Z219" i="17"/>
  <c r="X219" i="17"/>
  <c r="W219" i="17"/>
  <c r="V219" i="17"/>
  <c r="U219" i="17"/>
  <c r="T219" i="17"/>
  <c r="S219" i="17"/>
  <c r="R219" i="17"/>
  <c r="Q219" i="17"/>
  <c r="P219" i="17"/>
  <c r="O219" i="17"/>
  <c r="N219" i="17"/>
  <c r="M219" i="17"/>
  <c r="L219" i="17"/>
  <c r="K219" i="17"/>
  <c r="AU216" i="17"/>
  <c r="AT216" i="17"/>
  <c r="Y216" i="17"/>
  <c r="AU215" i="17"/>
  <c r="AT215" i="17"/>
  <c r="Y215" i="17"/>
  <c r="AU214" i="17"/>
  <c r="AT214" i="17"/>
  <c r="Y214" i="17"/>
  <c r="AU213" i="17"/>
  <c r="AT213" i="17"/>
  <c r="Y213" i="17"/>
  <c r="AU212" i="17"/>
  <c r="AT212" i="17"/>
  <c r="Y212" i="17"/>
  <c r="AU211" i="17"/>
  <c r="AT211" i="17"/>
  <c r="Y211" i="17"/>
  <c r="AU210" i="17"/>
  <c r="AT210" i="17"/>
  <c r="Y210" i="17"/>
  <c r="AU209" i="17"/>
  <c r="AT209" i="17"/>
  <c r="Y209" i="17"/>
  <c r="AU208" i="17"/>
  <c r="AT208" i="17"/>
  <c r="Y208" i="17"/>
  <c r="AU207" i="17"/>
  <c r="AT207" i="17"/>
  <c r="Y207" i="17"/>
  <c r="AU206" i="17"/>
  <c r="AT206" i="17"/>
  <c r="Y206" i="17"/>
  <c r="AU205" i="17"/>
  <c r="AT205" i="17"/>
  <c r="Y205" i="17"/>
  <c r="AU204" i="17"/>
  <c r="AT204" i="17"/>
  <c r="Y204" i="17"/>
  <c r="AU203" i="17"/>
  <c r="AT203" i="17"/>
  <c r="Y203" i="17"/>
  <c r="AU202" i="17"/>
  <c r="AT202" i="17"/>
  <c r="Y202" i="17"/>
  <c r="AU201" i="17"/>
  <c r="AT201" i="17"/>
  <c r="Y201" i="17"/>
  <c r="AU200" i="17"/>
  <c r="AT200" i="17"/>
  <c r="Y200" i="17"/>
  <c r="AU199" i="17"/>
  <c r="AT199" i="17"/>
  <c r="Y199" i="17"/>
  <c r="AU198" i="17"/>
  <c r="AT198" i="17"/>
  <c r="Y198" i="17"/>
  <c r="AU197" i="17"/>
  <c r="AT197" i="17"/>
  <c r="Y197" i="17"/>
  <c r="AU196" i="17"/>
  <c r="AT196" i="17"/>
  <c r="Y196" i="17"/>
  <c r="AU195" i="17"/>
  <c r="AT195" i="17"/>
  <c r="Y195" i="17"/>
  <c r="AU194" i="17"/>
  <c r="AT194" i="17"/>
  <c r="Y194" i="17"/>
  <c r="AU193" i="17"/>
  <c r="AT193" i="17"/>
  <c r="Y193" i="17"/>
  <c r="AU192" i="17"/>
  <c r="AT192" i="17"/>
  <c r="Y192" i="17"/>
  <c r="AU191" i="17"/>
  <c r="AT191" i="17"/>
  <c r="Y191" i="17"/>
  <c r="AU190" i="17"/>
  <c r="AT190" i="17"/>
  <c r="Y190" i="17"/>
  <c r="AU189" i="17"/>
  <c r="AT189" i="17"/>
  <c r="Y189" i="17"/>
  <c r="AU188" i="17"/>
  <c r="AT188" i="17"/>
  <c r="Y188" i="17"/>
  <c r="AU187" i="17"/>
  <c r="AT187" i="17"/>
  <c r="Y187" i="17"/>
  <c r="AU186" i="17"/>
  <c r="AT186" i="17"/>
  <c r="Y186" i="17"/>
  <c r="AU185" i="17"/>
  <c r="AT185" i="17"/>
  <c r="Y185" i="17"/>
  <c r="AU184" i="17"/>
  <c r="AT184" i="17"/>
  <c r="Y184" i="17"/>
  <c r="AU183" i="17"/>
  <c r="AT183" i="17"/>
  <c r="Y183" i="17"/>
  <c r="AU182" i="17"/>
  <c r="AT182" i="17"/>
  <c r="Y182" i="17"/>
  <c r="AU181" i="17"/>
  <c r="AT181" i="17"/>
  <c r="Y181" i="17"/>
  <c r="AU180" i="17"/>
  <c r="AT180" i="17"/>
  <c r="Y180" i="17"/>
  <c r="AU179" i="17"/>
  <c r="AT179" i="17"/>
  <c r="Y179" i="17"/>
  <c r="AU178" i="17"/>
  <c r="AT178" i="17"/>
  <c r="Y178" i="17"/>
  <c r="AU177" i="17"/>
  <c r="AT177" i="17"/>
  <c r="Y177" i="17"/>
  <c r="AU176" i="17"/>
  <c r="AT176" i="17"/>
  <c r="Y176" i="17"/>
  <c r="AU175" i="17"/>
  <c r="AT175" i="17"/>
  <c r="Y175" i="17"/>
  <c r="AU174" i="17"/>
  <c r="AT174" i="17"/>
  <c r="Y174" i="17"/>
  <c r="AU173" i="17"/>
  <c r="AT173" i="17"/>
  <c r="Y173" i="17"/>
  <c r="AU172" i="17"/>
  <c r="AT172" i="17"/>
  <c r="Y172" i="17"/>
  <c r="AU171" i="17"/>
  <c r="AT171" i="17"/>
  <c r="Y171" i="17"/>
  <c r="AU170" i="17"/>
  <c r="AT170" i="17"/>
  <c r="Y170" i="17"/>
  <c r="AU169" i="17"/>
  <c r="AT169" i="17"/>
  <c r="Y169" i="17"/>
  <c r="AU168" i="17"/>
  <c r="AT168" i="17"/>
  <c r="Y168" i="17"/>
  <c r="AU167" i="17"/>
  <c r="AT167" i="17"/>
  <c r="Y167" i="17"/>
  <c r="AU166" i="17"/>
  <c r="AT166" i="17"/>
  <c r="Y166" i="17"/>
  <c r="AU165" i="17"/>
  <c r="AT165" i="17"/>
  <c r="Y165" i="17"/>
  <c r="AU164" i="17"/>
  <c r="AT164" i="17"/>
  <c r="Y164" i="17"/>
  <c r="AU163" i="17"/>
  <c r="AT163" i="17"/>
  <c r="Y163" i="17"/>
  <c r="AU162" i="17"/>
  <c r="AT162" i="17"/>
  <c r="Y162" i="17"/>
  <c r="AU161" i="17"/>
  <c r="AT161" i="17"/>
  <c r="Y161" i="17"/>
  <c r="AU160" i="17"/>
  <c r="AT160" i="17"/>
  <c r="Y160" i="17"/>
  <c r="AU159" i="17"/>
  <c r="AT159" i="17"/>
  <c r="Y159" i="17"/>
  <c r="AU158" i="17"/>
  <c r="AT158" i="17"/>
  <c r="Y158" i="17"/>
  <c r="AU157" i="17"/>
  <c r="AT157" i="17"/>
  <c r="Y157" i="17"/>
  <c r="AU156" i="17"/>
  <c r="AT156" i="17"/>
  <c r="Y156" i="17"/>
  <c r="AU155" i="17"/>
  <c r="AT155" i="17"/>
  <c r="Y155" i="17"/>
  <c r="AU154" i="17"/>
  <c r="AT154" i="17"/>
  <c r="Y154" i="17"/>
  <c r="AU153" i="17"/>
  <c r="AT153" i="17"/>
  <c r="Y153" i="17"/>
  <c r="AU152" i="17"/>
  <c r="AT152" i="17"/>
  <c r="Y152" i="17"/>
  <c r="AU151" i="17"/>
  <c r="AT151" i="17"/>
  <c r="Y151" i="17"/>
  <c r="AU150" i="17"/>
  <c r="AT150" i="17"/>
  <c r="Y150" i="17"/>
  <c r="AU149" i="17"/>
  <c r="AT149" i="17"/>
  <c r="Y149" i="17"/>
  <c r="AU148" i="17"/>
  <c r="AT148" i="17"/>
  <c r="Y148" i="17"/>
  <c r="AU147" i="17"/>
  <c r="AT147" i="17"/>
  <c r="Y147" i="17"/>
  <c r="AU146" i="17"/>
  <c r="AT146" i="17"/>
  <c r="Y146" i="17"/>
  <c r="AU145" i="17"/>
  <c r="AT145" i="17"/>
  <c r="Y145" i="17"/>
  <c r="AU144" i="17"/>
  <c r="AT144" i="17"/>
  <c r="Y144" i="17"/>
  <c r="AU143" i="17"/>
  <c r="AT143" i="17"/>
  <c r="Y143" i="17"/>
  <c r="AU142" i="17"/>
  <c r="AT142" i="17"/>
  <c r="Y142" i="17"/>
  <c r="AU141" i="17"/>
  <c r="AT141" i="17"/>
  <c r="Y141" i="17"/>
  <c r="AU140" i="17"/>
  <c r="AT140" i="17"/>
  <c r="Y140" i="17"/>
  <c r="AU139" i="17"/>
  <c r="AT139" i="17"/>
  <c r="Y139" i="17"/>
  <c r="AU138" i="17"/>
  <c r="AT138" i="17"/>
  <c r="Y138" i="17"/>
  <c r="AU137" i="17"/>
  <c r="AT137" i="17"/>
  <c r="Y137" i="17"/>
  <c r="AU136" i="17"/>
  <c r="AT136" i="17"/>
  <c r="Y136" i="17"/>
  <c r="AU135" i="17"/>
  <c r="AT135" i="17"/>
  <c r="Y135" i="17"/>
  <c r="AU134" i="17"/>
  <c r="AT134" i="17"/>
  <c r="Y134" i="17"/>
  <c r="AU133" i="17"/>
  <c r="AT133" i="17"/>
  <c r="Y133" i="17"/>
  <c r="AU132" i="17"/>
  <c r="AT132" i="17"/>
  <c r="Y132" i="17"/>
  <c r="AU131" i="17"/>
  <c r="AT131" i="17"/>
  <c r="Y131" i="17"/>
  <c r="AU130" i="17"/>
  <c r="AT130" i="17"/>
  <c r="Y130" i="17"/>
  <c r="AU129" i="17"/>
  <c r="AT129" i="17"/>
  <c r="Y129" i="17"/>
  <c r="AU128" i="17"/>
  <c r="AT128" i="17"/>
  <c r="Y128" i="17"/>
  <c r="AU127" i="17"/>
  <c r="AT127" i="17"/>
  <c r="Y127" i="17"/>
  <c r="AU126" i="17"/>
  <c r="AT126" i="17"/>
  <c r="Y126" i="17"/>
  <c r="AU125" i="17"/>
  <c r="AT125" i="17"/>
  <c r="Y125" i="17"/>
  <c r="AU124" i="17"/>
  <c r="AT124" i="17"/>
  <c r="Y124" i="17"/>
  <c r="AU123" i="17"/>
  <c r="AT123" i="17"/>
  <c r="Y123" i="17"/>
  <c r="AU122" i="17"/>
  <c r="AT122" i="17"/>
  <c r="Y122" i="17"/>
  <c r="AU121" i="17"/>
  <c r="AT121" i="17"/>
  <c r="Y121" i="17"/>
  <c r="AU120" i="17"/>
  <c r="AT120" i="17"/>
  <c r="Y120" i="17"/>
  <c r="AU119" i="17"/>
  <c r="AT119" i="17"/>
  <c r="Y119" i="17"/>
  <c r="AU118" i="17"/>
  <c r="AT118" i="17"/>
  <c r="Y118" i="17"/>
  <c r="AU117" i="17"/>
  <c r="AT117" i="17"/>
  <c r="Y117" i="17"/>
  <c r="AU116" i="17"/>
  <c r="AT116" i="17"/>
  <c r="Y116" i="17"/>
  <c r="AU115" i="17"/>
  <c r="AT115" i="17"/>
  <c r="Y115" i="17"/>
  <c r="AU114" i="17"/>
  <c r="AT114" i="17"/>
  <c r="Y114" i="17"/>
  <c r="AU113" i="17"/>
  <c r="AT113" i="17"/>
  <c r="Y113" i="17"/>
  <c r="AU112" i="17"/>
  <c r="AT112" i="17"/>
  <c r="Y112" i="17"/>
  <c r="AU111" i="17"/>
  <c r="AT111" i="17"/>
  <c r="Y111" i="17"/>
  <c r="AU110" i="17"/>
  <c r="AT110" i="17"/>
  <c r="Y110" i="17"/>
  <c r="AU109" i="17"/>
  <c r="AT109" i="17"/>
  <c r="Y109" i="17"/>
  <c r="AU108" i="17"/>
  <c r="AT108" i="17"/>
  <c r="Y108" i="17"/>
  <c r="AU107" i="17"/>
  <c r="AT107" i="17"/>
  <c r="Y107" i="17"/>
  <c r="AU106" i="17"/>
  <c r="AT106" i="17"/>
  <c r="Y106" i="17"/>
  <c r="AU105" i="17"/>
  <c r="AT105" i="17"/>
  <c r="Y105" i="17"/>
  <c r="AU104" i="17"/>
  <c r="AT104" i="17"/>
  <c r="Y104" i="17"/>
  <c r="AU103" i="17"/>
  <c r="AT103" i="17"/>
  <c r="Y103" i="17"/>
  <c r="AU102" i="17"/>
  <c r="AT102" i="17"/>
  <c r="Y102" i="17"/>
  <c r="AU101" i="17"/>
  <c r="AT101" i="17"/>
  <c r="Y101" i="17"/>
  <c r="AU100" i="17"/>
  <c r="AT100" i="17"/>
  <c r="Y100" i="17"/>
  <c r="AU99" i="17"/>
  <c r="AT99" i="17"/>
  <c r="Y99" i="17"/>
  <c r="AU98" i="17"/>
  <c r="AT98" i="17"/>
  <c r="Y98" i="17"/>
  <c r="AU97" i="17"/>
  <c r="AT97" i="17"/>
  <c r="Y97" i="17"/>
  <c r="AU96" i="17"/>
  <c r="AT96" i="17"/>
  <c r="Y96" i="17"/>
  <c r="AU95" i="17"/>
  <c r="AT95" i="17"/>
  <c r="Y95" i="17"/>
  <c r="AU94" i="17"/>
  <c r="AT94" i="17"/>
  <c r="Y94" i="17"/>
  <c r="AU93" i="17"/>
  <c r="AT93" i="17"/>
  <c r="Y93" i="17"/>
  <c r="AU92" i="17"/>
  <c r="AT92" i="17"/>
  <c r="Y92" i="17"/>
  <c r="AU91" i="17"/>
  <c r="AT91" i="17"/>
  <c r="Y91" i="17"/>
  <c r="AU90" i="17"/>
  <c r="AT90" i="17"/>
  <c r="Y90" i="17"/>
  <c r="AU89" i="17"/>
  <c r="AT89" i="17"/>
  <c r="Y89" i="17"/>
  <c r="AU88" i="17"/>
  <c r="AT88" i="17"/>
  <c r="Y88" i="17"/>
  <c r="AU87" i="17"/>
  <c r="AT87" i="17"/>
  <c r="Y87" i="17"/>
  <c r="AU86" i="17"/>
  <c r="AT86" i="17"/>
  <c r="Y86" i="17"/>
  <c r="AU85" i="17"/>
  <c r="AT85" i="17"/>
  <c r="Y85" i="17"/>
  <c r="AU84" i="17"/>
  <c r="AT84" i="17"/>
  <c r="Y84" i="17"/>
  <c r="AU83" i="17"/>
  <c r="AT83" i="17"/>
  <c r="Y83" i="17"/>
  <c r="AU82" i="17"/>
  <c r="AT82" i="17"/>
  <c r="Y82" i="17"/>
  <c r="AU81" i="17"/>
  <c r="AT81" i="17"/>
  <c r="Y81" i="17"/>
  <c r="AU80" i="17"/>
  <c r="AT80" i="17"/>
  <c r="Y80" i="17"/>
  <c r="AU79" i="17"/>
  <c r="AT79" i="17"/>
  <c r="Y79" i="17"/>
  <c r="AU78" i="17"/>
  <c r="AT78" i="17"/>
  <c r="Y78" i="17"/>
  <c r="AU77" i="17"/>
  <c r="AT77" i="17"/>
  <c r="Y77" i="17"/>
  <c r="AU76" i="17"/>
  <c r="AT76" i="17"/>
  <c r="Y76" i="17"/>
  <c r="AU75" i="17"/>
  <c r="AT75" i="17"/>
  <c r="Y75" i="17"/>
  <c r="AU74" i="17"/>
  <c r="AT74" i="17"/>
  <c r="Y74" i="17"/>
  <c r="AU73" i="17"/>
  <c r="AT73" i="17"/>
  <c r="Y73" i="17"/>
  <c r="AU72" i="17"/>
  <c r="AT72" i="17"/>
  <c r="Y72" i="17"/>
  <c r="AU71" i="17"/>
  <c r="AT71" i="17"/>
  <c r="Y71" i="17"/>
  <c r="AU70" i="17"/>
  <c r="AT70" i="17"/>
  <c r="Y70" i="17"/>
  <c r="AU69" i="17"/>
  <c r="AT69" i="17"/>
  <c r="Y69" i="17"/>
  <c r="AU68" i="17"/>
  <c r="AT68" i="17"/>
  <c r="Y68" i="17"/>
  <c r="AU67" i="17"/>
  <c r="AT67" i="17"/>
  <c r="Y67" i="17"/>
  <c r="AU66" i="17"/>
  <c r="AT66" i="17"/>
  <c r="Y66" i="17"/>
  <c r="AU65" i="17"/>
  <c r="AT65" i="17"/>
  <c r="Y65" i="17"/>
  <c r="AU64" i="17"/>
  <c r="AT64" i="17"/>
  <c r="Y64" i="17"/>
  <c r="AU63" i="17"/>
  <c r="AT63" i="17"/>
  <c r="Y63" i="17"/>
  <c r="AU62" i="17"/>
  <c r="AT62" i="17"/>
  <c r="Y62" i="17"/>
  <c r="AU61" i="17"/>
  <c r="AT61" i="17"/>
  <c r="Y61" i="17"/>
  <c r="AU60" i="17"/>
  <c r="AT60" i="17"/>
  <c r="Y60" i="17"/>
  <c r="AU59" i="17"/>
  <c r="AT59" i="17"/>
  <c r="Y59" i="17"/>
  <c r="AU58" i="17"/>
  <c r="AT58" i="17"/>
  <c r="Y58" i="17"/>
  <c r="AU57" i="17"/>
  <c r="AT57" i="17"/>
  <c r="Y57" i="17"/>
  <c r="AU56" i="17"/>
  <c r="AT56" i="17"/>
  <c r="Y56" i="17"/>
  <c r="AU55" i="17"/>
  <c r="AT55" i="17"/>
  <c r="Y55" i="17"/>
  <c r="AU54" i="17"/>
  <c r="AT54" i="17"/>
  <c r="Y54" i="17"/>
  <c r="AU53" i="17"/>
  <c r="AT53" i="17"/>
  <c r="Y53" i="17"/>
  <c r="AU52" i="17"/>
  <c r="AT52" i="17"/>
  <c r="Y52" i="17"/>
  <c r="AU51" i="17"/>
  <c r="AT51" i="17"/>
  <c r="Y51" i="17"/>
  <c r="AU50" i="17"/>
  <c r="AT50" i="17"/>
  <c r="Y50" i="17"/>
  <c r="AU49" i="17"/>
  <c r="AT49" i="17"/>
  <c r="Y49" i="17"/>
  <c r="AU48" i="17"/>
  <c r="AT48" i="17"/>
  <c r="Y48" i="17"/>
  <c r="AU47" i="17"/>
  <c r="AT47" i="17"/>
  <c r="Y47" i="17"/>
  <c r="AU46" i="17"/>
  <c r="AT46" i="17"/>
  <c r="Y46" i="17"/>
  <c r="AU45" i="17"/>
  <c r="AT45" i="17"/>
  <c r="Y45" i="17"/>
  <c r="AU44" i="17"/>
  <c r="AT44" i="17"/>
  <c r="Y44" i="17"/>
  <c r="AU43" i="17"/>
  <c r="AT43" i="17"/>
  <c r="Y43" i="17"/>
  <c r="B43" i="17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99" i="17" s="1"/>
  <c r="B100" i="17" s="1"/>
  <c r="B101" i="17" s="1"/>
  <c r="B102" i="17" s="1"/>
  <c r="B103" i="17" s="1"/>
  <c r="B104" i="17" s="1"/>
  <c r="B105" i="17" s="1"/>
  <c r="B106" i="17" s="1"/>
  <c r="B107" i="17" s="1"/>
  <c r="B108" i="17" s="1"/>
  <c r="B109" i="17" s="1"/>
  <c r="B110" i="17" s="1"/>
  <c r="B111" i="17" s="1"/>
  <c r="B112" i="17" s="1"/>
  <c r="B113" i="17" s="1"/>
  <c r="B114" i="17" s="1"/>
  <c r="B115" i="17" s="1"/>
  <c r="B116" i="17" s="1"/>
  <c r="B117" i="17" s="1"/>
  <c r="B118" i="17" s="1"/>
  <c r="B119" i="17" s="1"/>
  <c r="B120" i="17" s="1"/>
  <c r="B121" i="17" s="1"/>
  <c r="B122" i="17" s="1"/>
  <c r="B123" i="17" s="1"/>
  <c r="B124" i="17" s="1"/>
  <c r="B125" i="17" s="1"/>
  <c r="B126" i="17" s="1"/>
  <c r="B127" i="17" s="1"/>
  <c r="B128" i="17" s="1"/>
  <c r="B129" i="17" s="1"/>
  <c r="B130" i="17" s="1"/>
  <c r="B131" i="17" s="1"/>
  <c r="B132" i="17" s="1"/>
  <c r="B133" i="17" s="1"/>
  <c r="B134" i="17" s="1"/>
  <c r="B135" i="17" s="1"/>
  <c r="B136" i="17" s="1"/>
  <c r="B137" i="17" s="1"/>
  <c r="B138" i="17" s="1"/>
  <c r="B139" i="17" s="1"/>
  <c r="B140" i="17" s="1"/>
  <c r="B141" i="17" s="1"/>
  <c r="B142" i="17" s="1"/>
  <c r="B143" i="17" s="1"/>
  <c r="B144" i="17" s="1"/>
  <c r="B145" i="17" s="1"/>
  <c r="B146" i="17" s="1"/>
  <c r="B147" i="17" s="1"/>
  <c r="B148" i="17" s="1"/>
  <c r="B149" i="17" s="1"/>
  <c r="B150" i="17" s="1"/>
  <c r="B151" i="17" s="1"/>
  <c r="B152" i="17" s="1"/>
  <c r="B153" i="17" s="1"/>
  <c r="B154" i="17" s="1"/>
  <c r="B155" i="17" s="1"/>
  <c r="B156" i="17" s="1"/>
  <c r="B157" i="17" s="1"/>
  <c r="B158" i="17" s="1"/>
  <c r="B159" i="17" s="1"/>
  <c r="B160" i="17" s="1"/>
  <c r="B161" i="17" s="1"/>
  <c r="B162" i="17" s="1"/>
  <c r="B163" i="17" s="1"/>
  <c r="B164" i="17" s="1"/>
  <c r="B165" i="17" s="1"/>
  <c r="B166" i="17" s="1"/>
  <c r="B167" i="17" s="1"/>
  <c r="B168" i="17" s="1"/>
  <c r="B169" i="17" s="1"/>
  <c r="B170" i="17" s="1"/>
  <c r="B171" i="17" s="1"/>
  <c r="B172" i="17" s="1"/>
  <c r="B173" i="17" s="1"/>
  <c r="B174" i="17" s="1"/>
  <c r="B175" i="17" s="1"/>
  <c r="B176" i="17" s="1"/>
  <c r="B177" i="17" s="1"/>
  <c r="B178" i="17" s="1"/>
  <c r="B179" i="17" s="1"/>
  <c r="B180" i="17" s="1"/>
  <c r="B181" i="17" s="1"/>
  <c r="B182" i="17" s="1"/>
  <c r="B183" i="17" s="1"/>
  <c r="B184" i="17" s="1"/>
  <c r="B185" i="17" s="1"/>
  <c r="B186" i="17" s="1"/>
  <c r="B187" i="17" s="1"/>
  <c r="B188" i="17" s="1"/>
  <c r="B189" i="17" s="1"/>
  <c r="B190" i="17" s="1"/>
  <c r="B191" i="17" s="1"/>
  <c r="B192" i="17" s="1"/>
  <c r="B193" i="17" s="1"/>
  <c r="B194" i="17" s="1"/>
  <c r="B195" i="17" s="1"/>
  <c r="B196" i="17" s="1"/>
  <c r="B197" i="17" s="1"/>
  <c r="B198" i="17" s="1"/>
  <c r="B199" i="17" s="1"/>
  <c r="B200" i="17" s="1"/>
  <c r="B201" i="17" s="1"/>
  <c r="B202" i="17" s="1"/>
  <c r="B203" i="17" s="1"/>
  <c r="B204" i="17" s="1"/>
  <c r="B205" i="17" s="1"/>
  <c r="B206" i="17" s="1"/>
  <c r="B207" i="17" s="1"/>
  <c r="B208" i="17" s="1"/>
  <c r="B209" i="17" s="1"/>
  <c r="B210" i="17" s="1"/>
  <c r="B211" i="17" s="1"/>
  <c r="B212" i="17" s="1"/>
  <c r="B213" i="17" s="1"/>
  <c r="B214" i="17" s="1"/>
  <c r="B215" i="17" s="1"/>
  <c r="B216" i="17" s="1"/>
  <c r="AU42" i="17"/>
  <c r="AT42" i="17"/>
  <c r="Y42" i="17"/>
  <c r="AT41" i="17"/>
  <c r="AU41" i="17" s="1"/>
  <c r="Y41" i="17"/>
  <c r="AT40" i="17"/>
  <c r="Y40" i="17"/>
  <c r="AT39" i="17"/>
  <c r="Y39" i="17"/>
  <c r="AU39" i="17" s="1"/>
  <c r="AU38" i="17"/>
  <c r="AT38" i="17"/>
  <c r="Y38" i="17"/>
  <c r="AT37" i="17"/>
  <c r="AU37" i="17" s="1"/>
  <c r="Y37" i="17"/>
  <c r="AT36" i="17"/>
  <c r="AU36" i="17" s="1"/>
  <c r="Y36" i="17"/>
  <c r="AT35" i="17"/>
  <c r="Y35" i="17"/>
  <c r="AU35" i="17" s="1"/>
  <c r="AU34" i="17"/>
  <c r="AT34" i="17"/>
  <c r="Y34" i="17"/>
  <c r="AT33" i="17"/>
  <c r="AU33" i="17" s="1"/>
  <c r="Y33" i="17"/>
  <c r="AT32" i="17"/>
  <c r="Y32" i="17"/>
  <c r="AT31" i="17"/>
  <c r="Y31" i="17"/>
  <c r="AU31" i="17" s="1"/>
  <c r="AU30" i="17"/>
  <c r="AT30" i="17"/>
  <c r="Y30" i="17"/>
  <c r="AT29" i="17"/>
  <c r="AU29" i="17" s="1"/>
  <c r="Y29" i="17"/>
  <c r="AT28" i="17"/>
  <c r="AU28" i="17" s="1"/>
  <c r="Y28" i="17"/>
  <c r="AT27" i="17"/>
  <c r="Y27" i="17"/>
  <c r="AU27" i="17" s="1"/>
  <c r="AU26" i="17"/>
  <c r="AT26" i="17"/>
  <c r="Y26" i="17"/>
  <c r="AT25" i="17"/>
  <c r="AU25" i="17" s="1"/>
  <c r="Y25" i="17"/>
  <c r="AT24" i="17"/>
  <c r="Y24" i="17"/>
  <c r="AT23" i="17"/>
  <c r="Y23" i="17"/>
  <c r="AU23" i="17" s="1"/>
  <c r="AU22" i="17"/>
  <c r="AT22" i="17"/>
  <c r="Y22" i="17"/>
  <c r="AT21" i="17"/>
  <c r="AU21" i="17" s="1"/>
  <c r="Y21" i="17"/>
  <c r="AT20" i="17"/>
  <c r="AU20" i="17" s="1"/>
  <c r="Y20" i="17"/>
  <c r="AT19" i="17"/>
  <c r="Y19" i="17"/>
  <c r="AU19" i="17" s="1"/>
  <c r="AU18" i="17"/>
  <c r="AT18" i="17"/>
  <c r="Y18" i="17"/>
  <c r="AT17" i="17"/>
  <c r="AU17" i="17" s="1"/>
  <c r="Y17" i="17"/>
  <c r="AT16" i="17"/>
  <c r="Y16" i="17"/>
  <c r="Y219" i="17" s="1"/>
  <c r="E13" i="17" s="1"/>
  <c r="AU24" i="17" l="1"/>
  <c r="AU32" i="17"/>
  <c r="AU40" i="17"/>
  <c r="AT219" i="17"/>
  <c r="AU16" i="17"/>
  <c r="AS109" i="16"/>
  <c r="AR109" i="16"/>
  <c r="AQ109" i="16"/>
  <c r="AP109" i="16"/>
  <c r="AO109" i="16"/>
  <c r="AN109" i="16"/>
  <c r="AM109" i="16"/>
  <c r="AL109" i="16"/>
  <c r="AK109" i="16"/>
  <c r="AJ109" i="16"/>
  <c r="AI109" i="16"/>
  <c r="AH109" i="16"/>
  <c r="AG109" i="16"/>
  <c r="AF109" i="16"/>
  <c r="AE109" i="16"/>
  <c r="AD109" i="16"/>
  <c r="Z109" i="16"/>
  <c r="Y109" i="16"/>
  <c r="X109" i="16"/>
  <c r="W109" i="16"/>
  <c r="V109" i="16"/>
  <c r="U109" i="16"/>
  <c r="T109" i="16"/>
  <c r="S109" i="16"/>
  <c r="R109" i="16"/>
  <c r="Q109" i="16"/>
  <c r="P109" i="16"/>
  <c r="O109" i="16"/>
  <c r="N109" i="16"/>
  <c r="M109" i="16"/>
  <c r="K109" i="16"/>
  <c r="J109" i="16"/>
  <c r="AU106" i="16"/>
  <c r="AT106" i="16"/>
  <c r="Y106" i="16"/>
  <c r="L106" i="16"/>
  <c r="AU105" i="16"/>
  <c r="AT105" i="16"/>
  <c r="Y105" i="16"/>
  <c r="L105" i="16"/>
  <c r="AU104" i="16"/>
  <c r="AT104" i="16"/>
  <c r="Y104" i="16"/>
  <c r="L104" i="16"/>
  <c r="AU103" i="16"/>
  <c r="AT103" i="16"/>
  <c r="Y103" i="16"/>
  <c r="L103" i="16"/>
  <c r="AU102" i="16"/>
  <c r="AT102" i="16"/>
  <c r="Y102" i="16"/>
  <c r="L102" i="16"/>
  <c r="AU101" i="16"/>
  <c r="AT101" i="16"/>
  <c r="Y101" i="16"/>
  <c r="L101" i="16"/>
  <c r="AU100" i="16"/>
  <c r="AT100" i="16"/>
  <c r="Y100" i="16"/>
  <c r="L100" i="16"/>
  <c r="AU99" i="16"/>
  <c r="AT99" i="16"/>
  <c r="Y99" i="16"/>
  <c r="L99" i="16"/>
  <c r="AU98" i="16"/>
  <c r="AT98" i="16"/>
  <c r="Y98" i="16"/>
  <c r="L98" i="16"/>
  <c r="AU97" i="16"/>
  <c r="AT97" i="16"/>
  <c r="Y97" i="16"/>
  <c r="L97" i="16"/>
  <c r="AU96" i="16"/>
  <c r="AT96" i="16"/>
  <c r="Y96" i="16"/>
  <c r="L96" i="16"/>
  <c r="AU95" i="16"/>
  <c r="AT95" i="16"/>
  <c r="Y95" i="16"/>
  <c r="L95" i="16"/>
  <c r="AU94" i="16"/>
  <c r="AT94" i="16"/>
  <c r="Y94" i="16"/>
  <c r="L94" i="16"/>
  <c r="AU93" i="16"/>
  <c r="AT93" i="16"/>
  <c r="Y93" i="16"/>
  <c r="L93" i="16"/>
  <c r="AU92" i="16"/>
  <c r="AT92" i="16"/>
  <c r="Y92" i="16"/>
  <c r="L92" i="16"/>
  <c r="AU91" i="16"/>
  <c r="AT91" i="16"/>
  <c r="Y91" i="16"/>
  <c r="L91" i="16"/>
  <c r="AU90" i="16"/>
  <c r="AT90" i="16"/>
  <c r="Y90" i="16"/>
  <c r="L90" i="16"/>
  <c r="AU89" i="16"/>
  <c r="AT89" i="16"/>
  <c r="Y89" i="16"/>
  <c r="L89" i="16"/>
  <c r="AU88" i="16"/>
  <c r="AT88" i="16"/>
  <c r="Y88" i="16"/>
  <c r="L88" i="16"/>
  <c r="AU87" i="16"/>
  <c r="AT87" i="16"/>
  <c r="Y87" i="16"/>
  <c r="L87" i="16"/>
  <c r="AU86" i="16"/>
  <c r="AT86" i="16"/>
  <c r="Y86" i="16"/>
  <c r="L86" i="16"/>
  <c r="AU85" i="16"/>
  <c r="AT85" i="16"/>
  <c r="Y85" i="16"/>
  <c r="L85" i="16"/>
  <c r="AU84" i="16"/>
  <c r="AT84" i="16"/>
  <c r="Y84" i="16"/>
  <c r="L84" i="16"/>
  <c r="AU83" i="16"/>
  <c r="AT83" i="16"/>
  <c r="Y83" i="16"/>
  <c r="L83" i="16"/>
  <c r="AU82" i="16"/>
  <c r="AT82" i="16"/>
  <c r="Y82" i="16"/>
  <c r="L82" i="16"/>
  <c r="AU81" i="16"/>
  <c r="AT81" i="16"/>
  <c r="Y81" i="16"/>
  <c r="L81" i="16"/>
  <c r="AU80" i="16"/>
  <c r="AT80" i="16"/>
  <c r="Y80" i="16"/>
  <c r="L80" i="16"/>
  <c r="AU79" i="16"/>
  <c r="AT79" i="16"/>
  <c r="Y79" i="16"/>
  <c r="L79" i="16"/>
  <c r="AU78" i="16"/>
  <c r="AT78" i="16"/>
  <c r="Y78" i="16"/>
  <c r="L78" i="16"/>
  <c r="AU77" i="16"/>
  <c r="AT77" i="16"/>
  <c r="Y77" i="16"/>
  <c r="L77" i="16"/>
  <c r="AU76" i="16"/>
  <c r="AT76" i="16"/>
  <c r="Y76" i="16"/>
  <c r="L76" i="16"/>
  <c r="AU75" i="16"/>
  <c r="AT75" i="16"/>
  <c r="Y75" i="16"/>
  <c r="L75" i="16"/>
  <c r="AU74" i="16"/>
  <c r="AT74" i="16"/>
  <c r="Y74" i="16"/>
  <c r="L74" i="16"/>
  <c r="AU73" i="16"/>
  <c r="AT73" i="16"/>
  <c r="Y73" i="16"/>
  <c r="L73" i="16"/>
  <c r="AU72" i="16"/>
  <c r="AT72" i="16"/>
  <c r="Y72" i="16"/>
  <c r="L72" i="16"/>
  <c r="AU71" i="16"/>
  <c r="AT71" i="16"/>
  <c r="Y71" i="16"/>
  <c r="L71" i="16"/>
  <c r="AU70" i="16"/>
  <c r="AT70" i="16"/>
  <c r="Y70" i="16"/>
  <c r="L70" i="16"/>
  <c r="AU69" i="16"/>
  <c r="AT69" i="16"/>
  <c r="Y69" i="16"/>
  <c r="L69" i="16"/>
  <c r="AU68" i="16"/>
  <c r="AT68" i="16"/>
  <c r="Y68" i="16"/>
  <c r="L68" i="16"/>
  <c r="AU67" i="16"/>
  <c r="AT67" i="16"/>
  <c r="Y67" i="16"/>
  <c r="L67" i="16"/>
  <c r="AU66" i="16"/>
  <c r="AT66" i="16"/>
  <c r="Y66" i="16"/>
  <c r="L66" i="16"/>
  <c r="AU65" i="16"/>
  <c r="AT65" i="16"/>
  <c r="Y65" i="16"/>
  <c r="L65" i="16"/>
  <c r="AU64" i="16"/>
  <c r="AT64" i="16"/>
  <c r="Y64" i="16"/>
  <c r="L64" i="16"/>
  <c r="AU63" i="16"/>
  <c r="AT63" i="16"/>
  <c r="Y63" i="16"/>
  <c r="L63" i="16"/>
  <c r="AU62" i="16"/>
  <c r="AT62" i="16"/>
  <c r="Y62" i="16"/>
  <c r="L62" i="16"/>
  <c r="AU61" i="16"/>
  <c r="AT61" i="16"/>
  <c r="Y61" i="16"/>
  <c r="L61" i="16"/>
  <c r="AU60" i="16"/>
  <c r="AT60" i="16"/>
  <c r="Y60" i="16"/>
  <c r="L60" i="16"/>
  <c r="AU59" i="16"/>
  <c r="AT59" i="16"/>
  <c r="Y59" i="16"/>
  <c r="L59" i="16"/>
  <c r="AU58" i="16"/>
  <c r="AT58" i="16"/>
  <c r="Y58" i="16"/>
  <c r="L58" i="16"/>
  <c r="AU57" i="16"/>
  <c r="AT57" i="16"/>
  <c r="Y57" i="16"/>
  <c r="L57" i="16"/>
  <c r="AU56" i="16"/>
  <c r="AT56" i="16"/>
  <c r="Y56" i="16"/>
  <c r="L56" i="16"/>
  <c r="AU55" i="16"/>
  <c r="AT55" i="16"/>
  <c r="Y55" i="16"/>
  <c r="L55" i="16"/>
  <c r="AU54" i="16"/>
  <c r="AT54" i="16"/>
  <c r="Y54" i="16"/>
  <c r="L54" i="16"/>
  <c r="AU53" i="16"/>
  <c r="AT53" i="16"/>
  <c r="Y53" i="16"/>
  <c r="L53" i="16"/>
  <c r="AU52" i="16"/>
  <c r="AT52" i="16"/>
  <c r="Y52" i="16"/>
  <c r="L52" i="16"/>
  <c r="AU51" i="16"/>
  <c r="AT51" i="16"/>
  <c r="Y51" i="16"/>
  <c r="L51" i="16"/>
  <c r="AU50" i="16"/>
  <c r="AT50" i="16"/>
  <c r="Y50" i="16"/>
  <c r="L50" i="16"/>
  <c r="AU49" i="16"/>
  <c r="AT49" i="16"/>
  <c r="Y49" i="16"/>
  <c r="L49" i="16"/>
  <c r="AU48" i="16"/>
  <c r="AT48" i="16"/>
  <c r="Y48" i="16"/>
  <c r="L48" i="16"/>
  <c r="AU47" i="16"/>
  <c r="AT47" i="16"/>
  <c r="Y47" i="16"/>
  <c r="L47" i="16"/>
  <c r="AU46" i="16"/>
  <c r="AT46" i="16"/>
  <c r="Y46" i="16"/>
  <c r="L46" i="16"/>
  <c r="AU45" i="16"/>
  <c r="AT45" i="16"/>
  <c r="Y45" i="16"/>
  <c r="L45" i="16"/>
  <c r="AU44" i="16"/>
  <c r="AT44" i="16"/>
  <c r="Y44" i="16"/>
  <c r="L44" i="16"/>
  <c r="AU43" i="16"/>
  <c r="AT43" i="16"/>
  <c r="Y43" i="16"/>
  <c r="L43" i="16"/>
  <c r="AU42" i="16"/>
  <c r="AT42" i="16"/>
  <c r="Y42" i="16"/>
  <c r="L42" i="16"/>
  <c r="AU41" i="16"/>
  <c r="AT41" i="16"/>
  <c r="Y41" i="16"/>
  <c r="L41" i="16"/>
  <c r="AU40" i="16"/>
  <c r="AT40" i="16"/>
  <c r="Y40" i="16"/>
  <c r="L40" i="16"/>
  <c r="AU39" i="16"/>
  <c r="AT39" i="16"/>
  <c r="Y39" i="16"/>
  <c r="L39" i="16"/>
  <c r="AU38" i="16"/>
  <c r="AT38" i="16"/>
  <c r="Y38" i="16"/>
  <c r="L38" i="16"/>
  <c r="AU37" i="16"/>
  <c r="AT37" i="16"/>
  <c r="Y37" i="16"/>
  <c r="L37" i="16"/>
  <c r="AU36" i="16"/>
  <c r="AT36" i="16"/>
  <c r="Y36" i="16"/>
  <c r="L36" i="16"/>
  <c r="AU35" i="16"/>
  <c r="AT35" i="16"/>
  <c r="Y35" i="16"/>
  <c r="L35" i="16"/>
  <c r="AU34" i="16"/>
  <c r="AT34" i="16"/>
  <c r="Y34" i="16"/>
  <c r="L34" i="16"/>
  <c r="AU33" i="16"/>
  <c r="AT33" i="16"/>
  <c r="Y33" i="16"/>
  <c r="L33" i="16"/>
  <c r="AU32" i="16"/>
  <c r="AT32" i="16"/>
  <c r="Y32" i="16"/>
  <c r="L32" i="16"/>
  <c r="AU31" i="16"/>
  <c r="AT31" i="16"/>
  <c r="Y31" i="16"/>
  <c r="L31" i="16"/>
  <c r="AU30" i="16"/>
  <c r="AT30" i="16"/>
  <c r="Y30" i="16"/>
  <c r="L30" i="16"/>
  <c r="AU29" i="16"/>
  <c r="AT29" i="16"/>
  <c r="Y29" i="16"/>
  <c r="L29" i="16"/>
  <c r="AU28" i="16"/>
  <c r="AT28" i="16"/>
  <c r="Y28" i="16"/>
  <c r="L28" i="16"/>
  <c r="AU27" i="16"/>
  <c r="AT27" i="16"/>
  <c r="Y27" i="16"/>
  <c r="L27" i="16"/>
  <c r="AU26" i="16"/>
  <c r="AT26" i="16"/>
  <c r="Y26" i="16"/>
  <c r="L26" i="16"/>
  <c r="AU25" i="16"/>
  <c r="AT25" i="16"/>
  <c r="Y25" i="16"/>
  <c r="L25" i="16"/>
  <c r="AU24" i="16"/>
  <c r="AT24" i="16"/>
  <c r="Y24" i="16"/>
  <c r="L24" i="16"/>
  <c r="AU23" i="16"/>
  <c r="AT23" i="16"/>
  <c r="Y23" i="16"/>
  <c r="L23" i="16"/>
  <c r="AU22" i="16"/>
  <c r="AT22" i="16"/>
  <c r="Y22" i="16"/>
  <c r="L22" i="16"/>
  <c r="AU21" i="16"/>
  <c r="AT21" i="16"/>
  <c r="Y21" i="16"/>
  <c r="L21" i="16"/>
  <c r="AU20" i="16"/>
  <c r="AT20" i="16"/>
  <c r="Y20" i="16"/>
  <c r="L20" i="16"/>
  <c r="AU19" i="16"/>
  <c r="AT19" i="16"/>
  <c r="Y19" i="16"/>
  <c r="L19" i="16"/>
  <c r="AU18" i="16"/>
  <c r="AT18" i="16"/>
  <c r="Y18" i="16"/>
  <c r="L18" i="16"/>
  <c r="AU17" i="16"/>
  <c r="AT17" i="16"/>
  <c r="Y17" i="16"/>
  <c r="L17" i="16"/>
  <c r="AU16" i="16"/>
  <c r="AU109" i="16" s="1"/>
  <c r="AT16" i="16"/>
  <c r="AT109" i="16" s="1"/>
  <c r="Y16" i="16"/>
  <c r="L16" i="16"/>
  <c r="L109" i="16" s="1"/>
  <c r="E13" i="16"/>
  <c r="AU219" i="17" l="1"/>
  <c r="S16" i="15"/>
  <c r="AN16" i="15"/>
  <c r="AN83" i="15" s="1"/>
  <c r="AO16" i="15"/>
  <c r="S17" i="15"/>
  <c r="AN17" i="15"/>
  <c r="AO17" i="15"/>
  <c r="M18" i="15"/>
  <c r="O18" i="15"/>
  <c r="AN18" i="15"/>
  <c r="M19" i="15"/>
  <c r="N19" i="15"/>
  <c r="O19" i="15"/>
  <c r="AN19" i="15"/>
  <c r="M20" i="15"/>
  <c r="O20" i="15"/>
  <c r="AN20" i="15"/>
  <c r="M21" i="15"/>
  <c r="N21" i="15"/>
  <c r="O21" i="15"/>
  <c r="AN21" i="15"/>
  <c r="M22" i="15"/>
  <c r="O22" i="15"/>
  <c r="AN22" i="15"/>
  <c r="M23" i="15"/>
  <c r="N23" i="15"/>
  <c r="O23" i="15"/>
  <c r="AN23" i="15"/>
  <c r="M24" i="15"/>
  <c r="N24" i="15"/>
  <c r="O24" i="15"/>
  <c r="AN24" i="15"/>
  <c r="M25" i="15"/>
  <c r="S25" i="15" s="1"/>
  <c r="AO25" i="15" s="1"/>
  <c r="AN25" i="15"/>
  <c r="M26" i="15"/>
  <c r="S26" i="15" s="1"/>
  <c r="AO26" i="15" s="1"/>
  <c r="AN26" i="15"/>
  <c r="J27" i="15"/>
  <c r="J83" i="15" s="1"/>
  <c r="K27" i="15"/>
  <c r="K83" i="15" s="1"/>
  <c r="M27" i="15"/>
  <c r="S27" i="15" s="1"/>
  <c r="AO27" i="15" s="1"/>
  <c r="AN27" i="15"/>
  <c r="M28" i="15"/>
  <c r="S28" i="15" s="1"/>
  <c r="AO28" i="15" s="1"/>
  <c r="AN28" i="15"/>
  <c r="M29" i="15"/>
  <c r="S29" i="15" s="1"/>
  <c r="AO29" i="15" s="1"/>
  <c r="AN29" i="15"/>
  <c r="M30" i="15"/>
  <c r="S30" i="15" s="1"/>
  <c r="AO30" i="15" s="1"/>
  <c r="AN30" i="15"/>
  <c r="M31" i="15"/>
  <c r="S31" i="15" s="1"/>
  <c r="AO31" i="15" s="1"/>
  <c r="AN31" i="15"/>
  <c r="M32" i="15"/>
  <c r="S32" i="15" s="1"/>
  <c r="AO32" i="15" s="1"/>
  <c r="AN32" i="15"/>
  <c r="M33" i="15"/>
  <c r="S33" i="15" s="1"/>
  <c r="AO33" i="15" s="1"/>
  <c r="AN33" i="15"/>
  <c r="M34" i="15"/>
  <c r="S34" i="15" s="1"/>
  <c r="AO34" i="15" s="1"/>
  <c r="AN34" i="15"/>
  <c r="M35" i="15"/>
  <c r="S35" i="15" s="1"/>
  <c r="AO35" i="15" s="1"/>
  <c r="AN35" i="15"/>
  <c r="J36" i="15"/>
  <c r="L36" i="15"/>
  <c r="M36" i="15"/>
  <c r="S36" i="15" s="1"/>
  <c r="AO36" i="15" s="1"/>
  <c r="AN36" i="15"/>
  <c r="M37" i="15"/>
  <c r="S37" i="15" s="1"/>
  <c r="AO37" i="15" s="1"/>
  <c r="AN37" i="15"/>
  <c r="M38" i="15"/>
  <c r="S38" i="15" s="1"/>
  <c r="AO38" i="15" s="1"/>
  <c r="AN38" i="15"/>
  <c r="M39" i="15"/>
  <c r="S39" i="15" s="1"/>
  <c r="AO39" i="15" s="1"/>
  <c r="AN39" i="15"/>
  <c r="M40" i="15"/>
  <c r="S40" i="15" s="1"/>
  <c r="AO40" i="15" s="1"/>
  <c r="AN40" i="15"/>
  <c r="M41" i="15"/>
  <c r="S41" i="15" s="1"/>
  <c r="AO41" i="15" s="1"/>
  <c r="AN41" i="15"/>
  <c r="M42" i="15"/>
  <c r="S42" i="15" s="1"/>
  <c r="AO42" i="15" s="1"/>
  <c r="AN42" i="15"/>
  <c r="M43" i="15"/>
  <c r="S43" i="15" s="1"/>
  <c r="AO43" i="15" s="1"/>
  <c r="AN43" i="15"/>
  <c r="M44" i="15"/>
  <c r="S44" i="15" s="1"/>
  <c r="AO44" i="15" s="1"/>
  <c r="AN44" i="15"/>
  <c r="M45" i="15"/>
  <c r="S45" i="15" s="1"/>
  <c r="AO45" i="15" s="1"/>
  <c r="AN45" i="15"/>
  <c r="M46" i="15"/>
  <c r="S46" i="15" s="1"/>
  <c r="AO46" i="15" s="1"/>
  <c r="AN46" i="15"/>
  <c r="M47" i="15"/>
  <c r="S47" i="15" s="1"/>
  <c r="AO47" i="15" s="1"/>
  <c r="AN47" i="15"/>
  <c r="M48" i="15"/>
  <c r="S48" i="15" s="1"/>
  <c r="AO48" i="15" s="1"/>
  <c r="AN48" i="15"/>
  <c r="M49" i="15"/>
  <c r="S49" i="15" s="1"/>
  <c r="AO49" i="15" s="1"/>
  <c r="AN49" i="15"/>
  <c r="M50" i="15"/>
  <c r="S50" i="15" s="1"/>
  <c r="AO50" i="15" s="1"/>
  <c r="AN50" i="15"/>
  <c r="M51" i="15"/>
  <c r="S51" i="15" s="1"/>
  <c r="AO51" i="15" s="1"/>
  <c r="AN51" i="15"/>
  <c r="M52" i="15"/>
  <c r="S52" i="15" s="1"/>
  <c r="AO52" i="15" s="1"/>
  <c r="AN52" i="15"/>
  <c r="M53" i="15"/>
  <c r="S53" i="15" s="1"/>
  <c r="AO53" i="15" s="1"/>
  <c r="AN53" i="15"/>
  <c r="M54" i="15"/>
  <c r="S54" i="15" s="1"/>
  <c r="AO54" i="15" s="1"/>
  <c r="AN54" i="15"/>
  <c r="M55" i="15"/>
  <c r="S55" i="15" s="1"/>
  <c r="AO55" i="15" s="1"/>
  <c r="AN55" i="15"/>
  <c r="M56" i="15"/>
  <c r="S56" i="15" s="1"/>
  <c r="AO56" i="15" s="1"/>
  <c r="AN56" i="15"/>
  <c r="M57" i="15"/>
  <c r="S57" i="15" s="1"/>
  <c r="AO57" i="15" s="1"/>
  <c r="AN57" i="15"/>
  <c r="M58" i="15"/>
  <c r="S58" i="15" s="1"/>
  <c r="AO58" i="15" s="1"/>
  <c r="AN58" i="15"/>
  <c r="M59" i="15"/>
  <c r="S59" i="15" s="1"/>
  <c r="AO59" i="15" s="1"/>
  <c r="AN59" i="15"/>
  <c r="M60" i="15"/>
  <c r="S60" i="15" s="1"/>
  <c r="AO60" i="15" s="1"/>
  <c r="AN60" i="15"/>
  <c r="M61" i="15"/>
  <c r="S61" i="15" s="1"/>
  <c r="AO61" i="15" s="1"/>
  <c r="AN61" i="15"/>
  <c r="M62" i="15"/>
  <c r="S62" i="15" s="1"/>
  <c r="AO62" i="15" s="1"/>
  <c r="AN62" i="15"/>
  <c r="M63" i="15"/>
  <c r="S63" i="15" s="1"/>
  <c r="AO63" i="15" s="1"/>
  <c r="AN63" i="15"/>
  <c r="M64" i="15"/>
  <c r="S64" i="15" s="1"/>
  <c r="AO64" i="15" s="1"/>
  <c r="AN64" i="15"/>
  <c r="M65" i="15"/>
  <c r="N65" i="15"/>
  <c r="O65" i="15"/>
  <c r="AN65" i="15"/>
  <c r="M66" i="15"/>
  <c r="N66" i="15"/>
  <c r="O66" i="15"/>
  <c r="AN66" i="15"/>
  <c r="M67" i="15"/>
  <c r="N67" i="15"/>
  <c r="O67" i="15"/>
  <c r="AN67" i="15"/>
  <c r="M68" i="15"/>
  <c r="N68" i="15"/>
  <c r="O68" i="15"/>
  <c r="AN68" i="15"/>
  <c r="M69" i="15"/>
  <c r="N69" i="15"/>
  <c r="O69" i="15"/>
  <c r="AN69" i="15"/>
  <c r="M70" i="15"/>
  <c r="N70" i="15"/>
  <c r="O70" i="15"/>
  <c r="AN70" i="15"/>
  <c r="M71" i="15"/>
  <c r="N71" i="15"/>
  <c r="O71" i="15"/>
  <c r="AN71" i="15"/>
  <c r="M72" i="15"/>
  <c r="N72" i="15"/>
  <c r="O72" i="15"/>
  <c r="AN72" i="15"/>
  <c r="M73" i="15"/>
  <c r="N73" i="15"/>
  <c r="O73" i="15"/>
  <c r="AN73" i="15"/>
  <c r="S74" i="15"/>
  <c r="S75" i="15"/>
  <c r="S76" i="15"/>
  <c r="S77" i="15"/>
  <c r="S78" i="15"/>
  <c r="S79" i="15"/>
  <c r="S80" i="15"/>
  <c r="S81" i="15"/>
  <c r="S82" i="15"/>
  <c r="L83" i="15"/>
  <c r="P83" i="15"/>
  <c r="Q83" i="15"/>
  <c r="R83" i="15"/>
  <c r="T83" i="15"/>
  <c r="X83" i="15"/>
  <c r="AB83" i="15"/>
  <c r="AF83" i="15"/>
  <c r="AJ83" i="15"/>
  <c r="S22" i="15" l="1"/>
  <c r="AO22" i="15" s="1"/>
  <c r="S66" i="15"/>
  <c r="AO66" i="15" s="1"/>
  <c r="S68" i="15"/>
  <c r="AO68" i="15" s="1"/>
  <c r="S72" i="15"/>
  <c r="AO72" i="15" s="1"/>
  <c r="S70" i="15"/>
  <c r="AO70" i="15" s="1"/>
  <c r="S19" i="15"/>
  <c r="AO19" i="15" s="1"/>
  <c r="S73" i="15"/>
  <c r="AO73" i="15" s="1"/>
  <c r="S71" i="15"/>
  <c r="AO24" i="15" s="1"/>
  <c r="S65" i="15"/>
  <c r="AO65" i="15" s="1"/>
  <c r="S24" i="15"/>
  <c r="O83" i="15"/>
  <c r="N83" i="15"/>
  <c r="S20" i="15"/>
  <c r="AO20" i="15" s="1"/>
  <c r="M83" i="15"/>
  <c r="S69" i="15"/>
  <c r="AO69" i="15" s="1"/>
  <c r="S23" i="15"/>
  <c r="S21" i="15"/>
  <c r="AO21" i="15" s="1"/>
  <c r="S67" i="15"/>
  <c r="AO67" i="15" s="1"/>
  <c r="AO23" i="15"/>
  <c r="S18" i="15"/>
  <c r="AO71" i="15" l="1"/>
  <c r="S83" i="15"/>
  <c r="E13" i="15" s="1"/>
  <c r="AO18" i="15"/>
  <c r="AO83" i="15" s="1"/>
  <c r="V192" i="11" l="1"/>
  <c r="L123" i="8" l="1"/>
  <c r="J123" i="8"/>
  <c r="Y135" i="4" l="1"/>
  <c r="AT295" i="12" l="1"/>
  <c r="AS295" i="12"/>
  <c r="AR295" i="12"/>
  <c r="AQ295" i="12"/>
  <c r="AP295" i="12"/>
  <c r="AO295" i="12"/>
  <c r="AN295" i="12"/>
  <c r="AM295" i="12"/>
  <c r="AL295" i="12"/>
  <c r="AK295" i="12"/>
  <c r="AI295" i="12"/>
  <c r="AH295" i="12"/>
  <c r="AE295" i="12"/>
  <c r="AD295" i="12"/>
  <c r="AA295" i="12"/>
  <c r="Z295" i="12"/>
  <c r="AO297" i="12" s="1"/>
  <c r="X295" i="12"/>
  <c r="W295" i="12"/>
  <c r="V295" i="12"/>
  <c r="U295" i="12"/>
  <c r="T295" i="12"/>
  <c r="S295" i="12"/>
  <c r="R295" i="12"/>
  <c r="Q295" i="12"/>
  <c r="P295" i="12"/>
  <c r="O295" i="12"/>
  <c r="N295" i="12"/>
  <c r="M295" i="12"/>
  <c r="K295" i="12"/>
  <c r="J295" i="12"/>
  <c r="AV294" i="12"/>
  <c r="AW294" i="12" s="1"/>
  <c r="Y294" i="12"/>
  <c r="AU294" i="12" s="1"/>
  <c r="L294" i="12"/>
  <c r="AV293" i="12"/>
  <c r="AW293" i="12" s="1"/>
  <c r="Y293" i="12"/>
  <c r="AU293" i="12" s="1"/>
  <c r="L293" i="12"/>
  <c r="AV292" i="12"/>
  <c r="AW292" i="12" s="1"/>
  <c r="Y292" i="12"/>
  <c r="AU292" i="12" s="1"/>
  <c r="L292" i="12"/>
  <c r="AW291" i="12"/>
  <c r="AV291" i="12"/>
  <c r="Y291" i="12"/>
  <c r="AU291" i="12" s="1"/>
  <c r="L291" i="12"/>
  <c r="AW290" i="12"/>
  <c r="AV290" i="12"/>
  <c r="Y290" i="12"/>
  <c r="AU290" i="12" s="1"/>
  <c r="L290" i="12"/>
  <c r="AV289" i="12"/>
  <c r="AW289" i="12" s="1"/>
  <c r="Y289" i="12"/>
  <c r="AU289" i="12" s="1"/>
  <c r="L289" i="12"/>
  <c r="AV288" i="12"/>
  <c r="AW288" i="12" s="1"/>
  <c r="AU288" i="12"/>
  <c r="Y288" i="12"/>
  <c r="L288" i="12"/>
  <c r="AV287" i="12"/>
  <c r="AW287" i="12" s="1"/>
  <c r="Y287" i="12"/>
  <c r="AU287" i="12" s="1"/>
  <c r="L287" i="12"/>
  <c r="AV286" i="12"/>
  <c r="AW286" i="12" s="1"/>
  <c r="Y286" i="12"/>
  <c r="AU286" i="12" s="1"/>
  <c r="L286" i="12"/>
  <c r="AV285" i="12"/>
  <c r="AW285" i="12" s="1"/>
  <c r="Y285" i="12"/>
  <c r="AU285" i="12" s="1"/>
  <c r="L285" i="12"/>
  <c r="AV284" i="12"/>
  <c r="AW284" i="12" s="1"/>
  <c r="Y284" i="12"/>
  <c r="AU284" i="12" s="1"/>
  <c r="L284" i="12"/>
  <c r="AV283" i="12"/>
  <c r="AW283" i="12" s="1"/>
  <c r="Y283" i="12"/>
  <c r="AU283" i="12" s="1"/>
  <c r="L283" i="12"/>
  <c r="AV282" i="12"/>
  <c r="AW282" i="12" s="1"/>
  <c r="Y282" i="12"/>
  <c r="AU282" i="12" s="1"/>
  <c r="L282" i="12"/>
  <c r="AV281" i="12"/>
  <c r="AW281" i="12" s="1"/>
  <c r="Y281" i="12"/>
  <c r="AU281" i="12" s="1"/>
  <c r="L281" i="12"/>
  <c r="AV280" i="12"/>
  <c r="AW280" i="12" s="1"/>
  <c r="Y280" i="12"/>
  <c r="AU280" i="12" s="1"/>
  <c r="L280" i="12"/>
  <c r="AV279" i="12"/>
  <c r="AW279" i="12" s="1"/>
  <c r="Y279" i="12"/>
  <c r="AU279" i="12" s="1"/>
  <c r="L279" i="12"/>
  <c r="AV278" i="12"/>
  <c r="AW278" i="12" s="1"/>
  <c r="Y278" i="12"/>
  <c r="AU278" i="12" s="1"/>
  <c r="L278" i="12"/>
  <c r="AV277" i="12"/>
  <c r="AW277" i="12" s="1"/>
  <c r="Y277" i="12"/>
  <c r="AU277" i="12" s="1"/>
  <c r="L277" i="12"/>
  <c r="AV276" i="12"/>
  <c r="AW276" i="12" s="1"/>
  <c r="Y276" i="12"/>
  <c r="AU276" i="12" s="1"/>
  <c r="L276" i="12"/>
  <c r="AV275" i="12"/>
  <c r="AW275" i="12" s="1"/>
  <c r="Y275" i="12"/>
  <c r="AU275" i="12" s="1"/>
  <c r="L275" i="12"/>
  <c r="AV274" i="12"/>
  <c r="AW274" i="12" s="1"/>
  <c r="Y274" i="12"/>
  <c r="AU274" i="12" s="1"/>
  <c r="L274" i="12"/>
  <c r="AV273" i="12"/>
  <c r="AW273" i="12" s="1"/>
  <c r="Y273" i="12"/>
  <c r="AU273" i="12" s="1"/>
  <c r="L273" i="12"/>
  <c r="AV272" i="12"/>
  <c r="AW272" i="12" s="1"/>
  <c r="Y272" i="12"/>
  <c r="AU272" i="12" s="1"/>
  <c r="L272" i="12"/>
  <c r="AV271" i="12"/>
  <c r="AW271" i="12" s="1"/>
  <c r="Y271" i="12"/>
  <c r="AU271" i="12" s="1"/>
  <c r="L271" i="12"/>
  <c r="AW270" i="12"/>
  <c r="AV270" i="12"/>
  <c r="Y270" i="12"/>
  <c r="AU270" i="12" s="1"/>
  <c r="L270" i="12"/>
  <c r="AV269" i="12"/>
  <c r="AW269" i="12" s="1"/>
  <c r="Y269" i="12"/>
  <c r="AU269" i="12" s="1"/>
  <c r="L269" i="12"/>
  <c r="AV268" i="12"/>
  <c r="AW268" i="12" s="1"/>
  <c r="Y268" i="12"/>
  <c r="AU268" i="12" s="1"/>
  <c r="L268" i="12"/>
  <c r="AV267" i="12"/>
  <c r="AW267" i="12" s="1"/>
  <c r="Y267" i="12"/>
  <c r="AU267" i="12" s="1"/>
  <c r="L267" i="12"/>
  <c r="AV266" i="12"/>
  <c r="AW266" i="12" s="1"/>
  <c r="Y266" i="12"/>
  <c r="AU266" i="12" s="1"/>
  <c r="L266" i="12"/>
  <c r="AV265" i="12"/>
  <c r="AW265" i="12" s="1"/>
  <c r="Y265" i="12"/>
  <c r="AU265" i="12" s="1"/>
  <c r="L265" i="12"/>
  <c r="AV264" i="12"/>
  <c r="AW264" i="12" s="1"/>
  <c r="Y264" i="12"/>
  <c r="AU264" i="12" s="1"/>
  <c r="L264" i="12"/>
  <c r="AV263" i="12"/>
  <c r="AW263" i="12" s="1"/>
  <c r="Y263" i="12"/>
  <c r="AU263" i="12" s="1"/>
  <c r="L263" i="12"/>
  <c r="AV262" i="12"/>
  <c r="AW262" i="12" s="1"/>
  <c r="Y262" i="12"/>
  <c r="AU262" i="12" s="1"/>
  <c r="L262" i="12"/>
  <c r="AV261" i="12"/>
  <c r="AW261" i="12" s="1"/>
  <c r="Y261" i="12"/>
  <c r="AU261" i="12" s="1"/>
  <c r="L261" i="12"/>
  <c r="AV260" i="12"/>
  <c r="AW260" i="12" s="1"/>
  <c r="Y260" i="12"/>
  <c r="AU260" i="12" s="1"/>
  <c r="L260" i="12"/>
  <c r="AV259" i="12"/>
  <c r="AW259" i="12" s="1"/>
  <c r="Y259" i="12"/>
  <c r="AU259" i="12" s="1"/>
  <c r="L259" i="12"/>
  <c r="AV258" i="12"/>
  <c r="AW258" i="12" s="1"/>
  <c r="Y258" i="12"/>
  <c r="AU258" i="12" s="1"/>
  <c r="L258" i="12"/>
  <c r="AV257" i="12"/>
  <c r="AW257" i="12" s="1"/>
  <c r="Y257" i="12"/>
  <c r="AU257" i="12" s="1"/>
  <c r="L257" i="12"/>
  <c r="AV256" i="12"/>
  <c r="AW256" i="12" s="1"/>
  <c r="Y256" i="12"/>
  <c r="AU256" i="12" s="1"/>
  <c r="L256" i="12"/>
  <c r="AV255" i="12"/>
  <c r="AW255" i="12" s="1"/>
  <c r="Y255" i="12"/>
  <c r="AU255" i="12" s="1"/>
  <c r="L255" i="12"/>
  <c r="AV254" i="12"/>
  <c r="AW254" i="12" s="1"/>
  <c r="Y254" i="12"/>
  <c r="AU254" i="12" s="1"/>
  <c r="L254" i="12"/>
  <c r="AV253" i="12"/>
  <c r="AW253" i="12" s="1"/>
  <c r="Y253" i="12"/>
  <c r="AU253" i="12" s="1"/>
  <c r="L253" i="12"/>
  <c r="AV252" i="12"/>
  <c r="AW252" i="12" s="1"/>
  <c r="Y252" i="12"/>
  <c r="AU252" i="12" s="1"/>
  <c r="L252" i="12"/>
  <c r="AV251" i="12"/>
  <c r="AW251" i="12" s="1"/>
  <c r="Y251" i="12"/>
  <c r="AU251" i="12" s="1"/>
  <c r="L251" i="12"/>
  <c r="AV250" i="12"/>
  <c r="AW250" i="12" s="1"/>
  <c r="Y250" i="12"/>
  <c r="AU250" i="12" s="1"/>
  <c r="L250" i="12"/>
  <c r="AV249" i="12"/>
  <c r="AW249" i="12" s="1"/>
  <c r="Y249" i="12"/>
  <c r="AU249" i="12" s="1"/>
  <c r="L249" i="12"/>
  <c r="AV248" i="12"/>
  <c r="AW248" i="12" s="1"/>
  <c r="Y248" i="12"/>
  <c r="AU248" i="12" s="1"/>
  <c r="L248" i="12"/>
  <c r="AV247" i="12"/>
  <c r="AW247" i="12" s="1"/>
  <c r="Y247" i="12"/>
  <c r="AU247" i="12" s="1"/>
  <c r="L247" i="12"/>
  <c r="AV246" i="12"/>
  <c r="AW246" i="12" s="1"/>
  <c r="Y246" i="12"/>
  <c r="AU246" i="12" s="1"/>
  <c r="L246" i="12"/>
  <c r="AV245" i="12"/>
  <c r="AW245" i="12" s="1"/>
  <c r="Y245" i="12"/>
  <c r="AU245" i="12" s="1"/>
  <c r="L245" i="12"/>
  <c r="AV244" i="12"/>
  <c r="AW244" i="12" s="1"/>
  <c r="Y244" i="12"/>
  <c r="AU244" i="12" s="1"/>
  <c r="L244" i="12"/>
  <c r="AV243" i="12"/>
  <c r="AW243" i="12" s="1"/>
  <c r="Y243" i="12"/>
  <c r="AU243" i="12" s="1"/>
  <c r="L243" i="12"/>
  <c r="AV242" i="12"/>
  <c r="AW242" i="12" s="1"/>
  <c r="Y242" i="12"/>
  <c r="AU242" i="12" s="1"/>
  <c r="L242" i="12"/>
  <c r="AV241" i="12"/>
  <c r="AW241" i="12" s="1"/>
  <c r="Y241" i="12"/>
  <c r="AU241" i="12" s="1"/>
  <c r="L241" i="12"/>
  <c r="AV240" i="12"/>
  <c r="AW240" i="12" s="1"/>
  <c r="Y240" i="12"/>
  <c r="AU240" i="12" s="1"/>
  <c r="L240" i="12"/>
  <c r="AV239" i="12"/>
  <c r="AW239" i="12" s="1"/>
  <c r="Y239" i="12"/>
  <c r="AU239" i="12" s="1"/>
  <c r="L239" i="12"/>
  <c r="AW238" i="12"/>
  <c r="AV238" i="12"/>
  <c r="Y238" i="12"/>
  <c r="AU238" i="12" s="1"/>
  <c r="L238" i="12"/>
  <c r="AV237" i="12"/>
  <c r="AW237" i="12" s="1"/>
  <c r="Y237" i="12"/>
  <c r="AU237" i="12" s="1"/>
  <c r="L237" i="12"/>
  <c r="AV236" i="12"/>
  <c r="AW236" i="12" s="1"/>
  <c r="Y236" i="12"/>
  <c r="AU236" i="12" s="1"/>
  <c r="L236" i="12"/>
  <c r="AV235" i="12"/>
  <c r="AW235" i="12" s="1"/>
  <c r="Y235" i="12"/>
  <c r="AU235" i="12" s="1"/>
  <c r="L235" i="12"/>
  <c r="AV234" i="12"/>
  <c r="AW234" i="12" s="1"/>
  <c r="Y234" i="12"/>
  <c r="AU234" i="12" s="1"/>
  <c r="L234" i="12"/>
  <c r="AV233" i="12"/>
  <c r="AW233" i="12" s="1"/>
  <c r="Y233" i="12"/>
  <c r="AU233" i="12" s="1"/>
  <c r="L233" i="12"/>
  <c r="AV232" i="12"/>
  <c r="AW232" i="12" s="1"/>
  <c r="Y232" i="12"/>
  <c r="AU232" i="12" s="1"/>
  <c r="L232" i="12"/>
  <c r="AV231" i="12"/>
  <c r="AW231" i="12" s="1"/>
  <c r="Y231" i="12"/>
  <c r="AU231" i="12" s="1"/>
  <c r="L231" i="12"/>
  <c r="AV230" i="12"/>
  <c r="AW230" i="12" s="1"/>
  <c r="Y230" i="12"/>
  <c r="AU230" i="12" s="1"/>
  <c r="L230" i="12"/>
  <c r="AV229" i="12"/>
  <c r="AW229" i="12" s="1"/>
  <c r="Y229" i="12"/>
  <c r="AU229" i="12" s="1"/>
  <c r="L229" i="12"/>
  <c r="AV228" i="12"/>
  <c r="AW228" i="12" s="1"/>
  <c r="Y228" i="12"/>
  <c r="AU228" i="12" s="1"/>
  <c r="L228" i="12"/>
  <c r="AV227" i="12"/>
  <c r="AW227" i="12" s="1"/>
  <c r="Y227" i="12"/>
  <c r="AU227" i="12" s="1"/>
  <c r="L227" i="12"/>
  <c r="AV226" i="12"/>
  <c r="AW226" i="12" s="1"/>
  <c r="Y226" i="12"/>
  <c r="AU226" i="12" s="1"/>
  <c r="L226" i="12"/>
  <c r="AV225" i="12"/>
  <c r="AW225" i="12" s="1"/>
  <c r="Y225" i="12"/>
  <c r="AU225" i="12" s="1"/>
  <c r="L225" i="12"/>
  <c r="AV224" i="12"/>
  <c r="AW224" i="12" s="1"/>
  <c r="Y224" i="12"/>
  <c r="AU224" i="12" s="1"/>
  <c r="L224" i="12"/>
  <c r="AV223" i="12"/>
  <c r="AW223" i="12" s="1"/>
  <c r="Y223" i="12"/>
  <c r="AU223" i="12" s="1"/>
  <c r="L223" i="12"/>
  <c r="AV222" i="12"/>
  <c r="AW222" i="12" s="1"/>
  <c r="Y222" i="12"/>
  <c r="AU222" i="12" s="1"/>
  <c r="L222" i="12"/>
  <c r="AV221" i="12"/>
  <c r="AW221" i="12" s="1"/>
  <c r="Y221" i="12"/>
  <c r="AU221" i="12" s="1"/>
  <c r="L221" i="12"/>
  <c r="AV220" i="12"/>
  <c r="AW220" i="12" s="1"/>
  <c r="Y220" i="12"/>
  <c r="AU220" i="12" s="1"/>
  <c r="L220" i="12"/>
  <c r="AV219" i="12"/>
  <c r="AW219" i="12" s="1"/>
  <c r="Y219" i="12"/>
  <c r="AU219" i="12" s="1"/>
  <c r="L219" i="12"/>
  <c r="AV218" i="12"/>
  <c r="AW218" i="12" s="1"/>
  <c r="Y218" i="12"/>
  <c r="AU218" i="12" s="1"/>
  <c r="L218" i="12"/>
  <c r="AV217" i="12"/>
  <c r="AW217" i="12" s="1"/>
  <c r="Y217" i="12"/>
  <c r="AU217" i="12" s="1"/>
  <c r="L217" i="12"/>
  <c r="AV216" i="12"/>
  <c r="AW216" i="12" s="1"/>
  <c r="Y216" i="12"/>
  <c r="AU216" i="12" s="1"/>
  <c r="L216" i="12"/>
  <c r="AV215" i="12"/>
  <c r="AW215" i="12" s="1"/>
  <c r="Y215" i="12"/>
  <c r="AU215" i="12" s="1"/>
  <c r="L215" i="12"/>
  <c r="AV214" i="12"/>
  <c r="AW214" i="12" s="1"/>
  <c r="AU214" i="12"/>
  <c r="Y214" i="12"/>
  <c r="L214" i="12"/>
  <c r="AV213" i="12"/>
  <c r="AW213" i="12" s="1"/>
  <c r="AU213" i="12"/>
  <c r="Y213" i="12"/>
  <c r="L213" i="12"/>
  <c r="AV212" i="12"/>
  <c r="AW212" i="12" s="1"/>
  <c r="AU212" i="12"/>
  <c r="Y212" i="12"/>
  <c r="L212" i="12"/>
  <c r="AV211" i="12"/>
  <c r="AW211" i="12" s="1"/>
  <c r="Y211" i="12"/>
  <c r="AU211" i="12" s="1"/>
  <c r="L211" i="12"/>
  <c r="AV210" i="12"/>
  <c r="AW210" i="12" s="1"/>
  <c r="Y210" i="12"/>
  <c r="AU210" i="12" s="1"/>
  <c r="L210" i="12"/>
  <c r="AV209" i="12"/>
  <c r="AW209" i="12" s="1"/>
  <c r="Y209" i="12"/>
  <c r="AU209" i="12" s="1"/>
  <c r="L209" i="12"/>
  <c r="AV208" i="12"/>
  <c r="AW208" i="12" s="1"/>
  <c r="Y208" i="12"/>
  <c r="AU208" i="12" s="1"/>
  <c r="L208" i="12"/>
  <c r="AV207" i="12"/>
  <c r="AW207" i="12" s="1"/>
  <c r="Y207" i="12"/>
  <c r="AU207" i="12" s="1"/>
  <c r="L207" i="12"/>
  <c r="AV206" i="12"/>
  <c r="AW206" i="12" s="1"/>
  <c r="Y206" i="12"/>
  <c r="AU206" i="12" s="1"/>
  <c r="L206" i="12"/>
  <c r="AV205" i="12"/>
  <c r="AW205" i="12" s="1"/>
  <c r="Y205" i="12"/>
  <c r="AU205" i="12" s="1"/>
  <c r="L205" i="12"/>
  <c r="AV204" i="12"/>
  <c r="AW204" i="12" s="1"/>
  <c r="Y204" i="12"/>
  <c r="AU204" i="12" s="1"/>
  <c r="L204" i="12"/>
  <c r="AV203" i="12"/>
  <c r="AW203" i="12" s="1"/>
  <c r="Y203" i="12"/>
  <c r="AU203" i="12" s="1"/>
  <c r="L203" i="12"/>
  <c r="AV202" i="12"/>
  <c r="AW202" i="12" s="1"/>
  <c r="Y202" i="12"/>
  <c r="AU202" i="12" s="1"/>
  <c r="L202" i="12"/>
  <c r="AV201" i="12"/>
  <c r="AW201" i="12" s="1"/>
  <c r="Y201" i="12"/>
  <c r="AU201" i="12" s="1"/>
  <c r="L201" i="12"/>
  <c r="AV200" i="12"/>
  <c r="AW200" i="12" s="1"/>
  <c r="Y200" i="12"/>
  <c r="AU200" i="12" s="1"/>
  <c r="L200" i="12"/>
  <c r="AV199" i="12"/>
  <c r="AW199" i="12" s="1"/>
  <c r="Y199" i="12"/>
  <c r="AU199" i="12" s="1"/>
  <c r="L199" i="12"/>
  <c r="AV198" i="12"/>
  <c r="AW198" i="12" s="1"/>
  <c r="Y198" i="12"/>
  <c r="AU198" i="12" s="1"/>
  <c r="L198" i="12"/>
  <c r="AV197" i="12"/>
  <c r="AW197" i="12" s="1"/>
  <c r="Y197" i="12"/>
  <c r="AU197" i="12" s="1"/>
  <c r="L197" i="12"/>
  <c r="AV196" i="12"/>
  <c r="AW196" i="12" s="1"/>
  <c r="Y196" i="12"/>
  <c r="AU196" i="12" s="1"/>
  <c r="L196" i="12"/>
  <c r="AW195" i="12"/>
  <c r="AV195" i="12"/>
  <c r="Y195" i="12"/>
  <c r="AU195" i="12" s="1"/>
  <c r="L195" i="12"/>
  <c r="AW194" i="12"/>
  <c r="AV194" i="12"/>
  <c r="Y194" i="12"/>
  <c r="AU194" i="12" s="1"/>
  <c r="L194" i="12"/>
  <c r="AV193" i="12"/>
  <c r="AW193" i="12" s="1"/>
  <c r="Y193" i="12"/>
  <c r="AU193" i="12" s="1"/>
  <c r="L193" i="12"/>
  <c r="AV192" i="12"/>
  <c r="AW192" i="12" s="1"/>
  <c r="AU192" i="12"/>
  <c r="Y192" i="12"/>
  <c r="L192" i="12"/>
  <c r="AV191" i="12"/>
  <c r="AW191" i="12" s="1"/>
  <c r="Y191" i="12"/>
  <c r="AU191" i="12" s="1"/>
  <c r="L191" i="12"/>
  <c r="AV190" i="12"/>
  <c r="AW190" i="12" s="1"/>
  <c r="Y190" i="12"/>
  <c r="AU190" i="12" s="1"/>
  <c r="L190" i="12"/>
  <c r="AV189" i="12"/>
  <c r="AW189" i="12" s="1"/>
  <c r="Y189" i="12"/>
  <c r="AU189" i="12" s="1"/>
  <c r="L189" i="12"/>
  <c r="AV188" i="12"/>
  <c r="AW188" i="12" s="1"/>
  <c r="Y188" i="12"/>
  <c r="AU188" i="12" s="1"/>
  <c r="L188" i="12"/>
  <c r="AV187" i="12"/>
  <c r="AW187" i="12" s="1"/>
  <c r="Y187" i="12"/>
  <c r="AU187" i="12" s="1"/>
  <c r="L187" i="12"/>
  <c r="AV186" i="12"/>
  <c r="AW186" i="12" s="1"/>
  <c r="Y186" i="12"/>
  <c r="AU186" i="12" s="1"/>
  <c r="L186" i="12"/>
  <c r="AV185" i="12"/>
  <c r="AW185" i="12" s="1"/>
  <c r="Y185" i="12"/>
  <c r="AU185" i="12" s="1"/>
  <c r="L185" i="12"/>
  <c r="AV184" i="12"/>
  <c r="AW184" i="12" s="1"/>
  <c r="Y184" i="12"/>
  <c r="AU184" i="12" s="1"/>
  <c r="L184" i="12"/>
  <c r="AV183" i="12"/>
  <c r="AW183" i="12" s="1"/>
  <c r="Y183" i="12"/>
  <c r="AU183" i="12" s="1"/>
  <c r="L183" i="12"/>
  <c r="AV182" i="12"/>
  <c r="AW182" i="12" s="1"/>
  <c r="Y182" i="12"/>
  <c r="AU182" i="12" s="1"/>
  <c r="L182" i="12"/>
  <c r="AV181" i="12"/>
  <c r="AW181" i="12" s="1"/>
  <c r="Y181" i="12"/>
  <c r="AU181" i="12" s="1"/>
  <c r="L181" i="12"/>
  <c r="AV180" i="12"/>
  <c r="AW180" i="12" s="1"/>
  <c r="Y180" i="12"/>
  <c r="AU180" i="12" s="1"/>
  <c r="L180" i="12"/>
  <c r="AV179" i="12"/>
  <c r="AW179" i="12" s="1"/>
  <c r="Y179" i="12"/>
  <c r="AU179" i="12" s="1"/>
  <c r="L179" i="12"/>
  <c r="AV178" i="12"/>
  <c r="AW178" i="12" s="1"/>
  <c r="Y178" i="12"/>
  <c r="AU178" i="12" s="1"/>
  <c r="L178" i="12"/>
  <c r="AV177" i="12"/>
  <c r="AW177" i="12" s="1"/>
  <c r="Y177" i="12"/>
  <c r="AU177" i="12" s="1"/>
  <c r="L177" i="12"/>
  <c r="AV176" i="12"/>
  <c r="AW176" i="12" s="1"/>
  <c r="Y176" i="12"/>
  <c r="AU176" i="12" s="1"/>
  <c r="L176" i="12"/>
  <c r="AV175" i="12"/>
  <c r="AW175" i="12" s="1"/>
  <c r="Y175" i="12"/>
  <c r="AU175" i="12" s="1"/>
  <c r="L175" i="12"/>
  <c r="AV174" i="12"/>
  <c r="AW174" i="12" s="1"/>
  <c r="Y174" i="12"/>
  <c r="AU174" i="12" s="1"/>
  <c r="L174" i="12"/>
  <c r="AV173" i="12"/>
  <c r="AW173" i="12" s="1"/>
  <c r="Y173" i="12"/>
  <c r="AU173" i="12" s="1"/>
  <c r="L173" i="12"/>
  <c r="AV172" i="12"/>
  <c r="AW172" i="12" s="1"/>
  <c r="Y172" i="12"/>
  <c r="AU172" i="12" s="1"/>
  <c r="L172" i="12"/>
  <c r="AV171" i="12"/>
  <c r="AW171" i="12" s="1"/>
  <c r="Y171" i="12"/>
  <c r="AU171" i="12" s="1"/>
  <c r="L171" i="12"/>
  <c r="AV170" i="12"/>
  <c r="AW170" i="12" s="1"/>
  <c r="Y170" i="12"/>
  <c r="AU170" i="12" s="1"/>
  <c r="L170" i="12"/>
  <c r="AV169" i="12"/>
  <c r="AW169" i="12" s="1"/>
  <c r="Y169" i="12"/>
  <c r="AU169" i="12" s="1"/>
  <c r="L169" i="12"/>
  <c r="AV168" i="12"/>
  <c r="AW168" i="12" s="1"/>
  <c r="Y168" i="12"/>
  <c r="AU168" i="12" s="1"/>
  <c r="L168" i="12"/>
  <c r="AV167" i="12"/>
  <c r="AW167" i="12" s="1"/>
  <c r="Y167" i="12"/>
  <c r="AU167" i="12" s="1"/>
  <c r="L167" i="12"/>
  <c r="AV166" i="12"/>
  <c r="AW166" i="12" s="1"/>
  <c r="Y166" i="12"/>
  <c r="AU166" i="12" s="1"/>
  <c r="L166" i="12"/>
  <c r="AV165" i="12"/>
  <c r="AW165" i="12" s="1"/>
  <c r="Y165" i="12"/>
  <c r="AU165" i="12" s="1"/>
  <c r="L165" i="12"/>
  <c r="AV164" i="12"/>
  <c r="AW164" i="12" s="1"/>
  <c r="Y164" i="12"/>
  <c r="AU164" i="12" s="1"/>
  <c r="L164" i="12"/>
  <c r="AV163" i="12"/>
  <c r="AW163" i="12" s="1"/>
  <c r="Y163" i="12"/>
  <c r="AU163" i="12" s="1"/>
  <c r="L163" i="12"/>
  <c r="AV162" i="12"/>
  <c r="AW162" i="12" s="1"/>
  <c r="Y162" i="12"/>
  <c r="AU162" i="12" s="1"/>
  <c r="L162" i="12"/>
  <c r="AV161" i="12"/>
  <c r="AW161" i="12" s="1"/>
  <c r="Y161" i="12"/>
  <c r="AU161" i="12" s="1"/>
  <c r="L161" i="12"/>
  <c r="AV160" i="12"/>
  <c r="AW160" i="12" s="1"/>
  <c r="Y160" i="12"/>
  <c r="AU160" i="12" s="1"/>
  <c r="L160" i="12"/>
  <c r="AV159" i="12"/>
  <c r="AW159" i="12" s="1"/>
  <c r="Y159" i="12"/>
  <c r="AU159" i="12" s="1"/>
  <c r="L159" i="12"/>
  <c r="AV158" i="12"/>
  <c r="AW158" i="12" s="1"/>
  <c r="Y158" i="12"/>
  <c r="AU158" i="12" s="1"/>
  <c r="L158" i="12"/>
  <c r="AV157" i="12"/>
  <c r="AW157" i="12" s="1"/>
  <c r="Y157" i="12"/>
  <c r="AU157" i="12" s="1"/>
  <c r="L157" i="12"/>
  <c r="AV156" i="12"/>
  <c r="AW156" i="12" s="1"/>
  <c r="Y156" i="12"/>
  <c r="AU156" i="12" s="1"/>
  <c r="L156" i="12"/>
  <c r="AV155" i="12"/>
  <c r="AW155" i="12" s="1"/>
  <c r="Y155" i="12"/>
  <c r="AU155" i="12" s="1"/>
  <c r="L155" i="12"/>
  <c r="AV154" i="12"/>
  <c r="AW154" i="12" s="1"/>
  <c r="Y154" i="12"/>
  <c r="AU154" i="12" s="1"/>
  <c r="L154" i="12"/>
  <c r="AV153" i="12"/>
  <c r="AW153" i="12" s="1"/>
  <c r="Y153" i="12"/>
  <c r="AU153" i="12" s="1"/>
  <c r="L153" i="12"/>
  <c r="AV152" i="12"/>
  <c r="AW152" i="12" s="1"/>
  <c r="Y152" i="12"/>
  <c r="AU152" i="12" s="1"/>
  <c r="L152" i="12"/>
  <c r="AV151" i="12"/>
  <c r="AW151" i="12" s="1"/>
  <c r="Y151" i="12"/>
  <c r="AU151" i="12" s="1"/>
  <c r="L151" i="12"/>
  <c r="AV150" i="12"/>
  <c r="AW150" i="12" s="1"/>
  <c r="Y150" i="12"/>
  <c r="AU150" i="12" s="1"/>
  <c r="L150" i="12"/>
  <c r="AV149" i="12"/>
  <c r="AW149" i="12" s="1"/>
  <c r="Y149" i="12"/>
  <c r="AU149" i="12" s="1"/>
  <c r="L149" i="12"/>
  <c r="AV148" i="12"/>
  <c r="AW148" i="12" s="1"/>
  <c r="Y148" i="12"/>
  <c r="AU148" i="12" s="1"/>
  <c r="L148" i="12"/>
  <c r="AV147" i="12"/>
  <c r="AW147" i="12" s="1"/>
  <c r="Y147" i="12"/>
  <c r="AU147" i="12" s="1"/>
  <c r="L147" i="12"/>
  <c r="AV146" i="12"/>
  <c r="AW146" i="12" s="1"/>
  <c r="Y146" i="12"/>
  <c r="AU146" i="12" s="1"/>
  <c r="L146" i="12"/>
  <c r="AV145" i="12"/>
  <c r="AW145" i="12" s="1"/>
  <c r="Y145" i="12"/>
  <c r="AU145" i="12" s="1"/>
  <c r="L145" i="12"/>
  <c r="AV144" i="12"/>
  <c r="AW144" i="12" s="1"/>
  <c r="Y144" i="12"/>
  <c r="AU144" i="12" s="1"/>
  <c r="L144" i="12"/>
  <c r="AV143" i="12"/>
  <c r="AW143" i="12" s="1"/>
  <c r="Y143" i="12"/>
  <c r="AU143" i="12" s="1"/>
  <c r="L143" i="12"/>
  <c r="AV142" i="12"/>
  <c r="AW142" i="12" s="1"/>
  <c r="Y142" i="12"/>
  <c r="AU142" i="12" s="1"/>
  <c r="L142" i="12"/>
  <c r="AV141" i="12"/>
  <c r="AW141" i="12" s="1"/>
  <c r="Y141" i="12"/>
  <c r="AU141" i="12" s="1"/>
  <c r="L141" i="12"/>
  <c r="AV140" i="12"/>
  <c r="AW140" i="12" s="1"/>
  <c r="Y140" i="12"/>
  <c r="AU140" i="12" s="1"/>
  <c r="L140" i="12"/>
  <c r="AV139" i="12"/>
  <c r="AW139" i="12" s="1"/>
  <c r="Y139" i="12"/>
  <c r="AU139" i="12" s="1"/>
  <c r="L139" i="12"/>
  <c r="AV138" i="12"/>
  <c r="AW138" i="12" s="1"/>
  <c r="Y138" i="12"/>
  <c r="AU138" i="12" s="1"/>
  <c r="L138" i="12"/>
  <c r="AV137" i="12"/>
  <c r="AW137" i="12" s="1"/>
  <c r="Y137" i="12"/>
  <c r="AU137" i="12" s="1"/>
  <c r="L137" i="12"/>
  <c r="AV136" i="12"/>
  <c r="AW136" i="12" s="1"/>
  <c r="Y136" i="12"/>
  <c r="AU136" i="12" s="1"/>
  <c r="L136" i="12"/>
  <c r="AV135" i="12"/>
  <c r="AW135" i="12" s="1"/>
  <c r="Y135" i="12"/>
  <c r="AU135" i="12" s="1"/>
  <c r="L135" i="12"/>
  <c r="AV134" i="12"/>
  <c r="AW134" i="12" s="1"/>
  <c r="Y134" i="12"/>
  <c r="AU134" i="12" s="1"/>
  <c r="L134" i="12"/>
  <c r="AV133" i="12"/>
  <c r="AW133" i="12" s="1"/>
  <c r="Y133" i="12"/>
  <c r="AU133" i="12" s="1"/>
  <c r="L133" i="12"/>
  <c r="AV132" i="12"/>
  <c r="AW132" i="12" s="1"/>
  <c r="Y132" i="12"/>
  <c r="AU132" i="12" s="1"/>
  <c r="L132" i="12"/>
  <c r="AW131" i="12"/>
  <c r="AV131" i="12"/>
  <c r="Y131" i="12"/>
  <c r="AU131" i="12" s="1"/>
  <c r="L131" i="12"/>
  <c r="AW130" i="12"/>
  <c r="AV130" i="12"/>
  <c r="Y130" i="12"/>
  <c r="AU130" i="12" s="1"/>
  <c r="L130" i="12"/>
  <c r="AV129" i="12"/>
  <c r="AW129" i="12" s="1"/>
  <c r="Y129" i="12"/>
  <c r="AU129" i="12" s="1"/>
  <c r="L129" i="12"/>
  <c r="AV128" i="12"/>
  <c r="AW128" i="12" s="1"/>
  <c r="Y128" i="12"/>
  <c r="AU128" i="12" s="1"/>
  <c r="L128" i="12"/>
  <c r="AV127" i="12"/>
  <c r="AW127" i="12" s="1"/>
  <c r="Y127" i="12"/>
  <c r="AU127" i="12" s="1"/>
  <c r="L127" i="12"/>
  <c r="AV126" i="12"/>
  <c r="AW126" i="12" s="1"/>
  <c r="Y126" i="12"/>
  <c r="AU126" i="12" s="1"/>
  <c r="L126" i="12"/>
  <c r="AV125" i="12"/>
  <c r="AW125" i="12" s="1"/>
  <c r="Y125" i="12"/>
  <c r="AU125" i="12" s="1"/>
  <c r="L125" i="12"/>
  <c r="AV124" i="12"/>
  <c r="AW124" i="12" s="1"/>
  <c r="Y124" i="12"/>
  <c r="AU124" i="12" s="1"/>
  <c r="L124" i="12"/>
  <c r="AV123" i="12"/>
  <c r="AW123" i="12" s="1"/>
  <c r="Y123" i="12"/>
  <c r="AU123" i="12" s="1"/>
  <c r="L123" i="12"/>
  <c r="AV122" i="12"/>
  <c r="AW122" i="12" s="1"/>
  <c r="Y122" i="12"/>
  <c r="AU122" i="12" s="1"/>
  <c r="L122" i="12"/>
  <c r="AV121" i="12"/>
  <c r="AW121" i="12" s="1"/>
  <c r="Y121" i="12"/>
  <c r="AU121" i="12" s="1"/>
  <c r="L121" i="12"/>
  <c r="AV120" i="12"/>
  <c r="AW120" i="12" s="1"/>
  <c r="Y120" i="12"/>
  <c r="AU120" i="12" s="1"/>
  <c r="L120" i="12"/>
  <c r="AV119" i="12"/>
  <c r="AW119" i="12" s="1"/>
  <c r="Y119" i="12"/>
  <c r="AU119" i="12" s="1"/>
  <c r="L119" i="12"/>
  <c r="AV118" i="12"/>
  <c r="AW118" i="12" s="1"/>
  <c r="Y118" i="12"/>
  <c r="AU118" i="12" s="1"/>
  <c r="L118" i="12"/>
  <c r="AV117" i="12"/>
  <c r="AW117" i="12" s="1"/>
  <c r="Y117" i="12"/>
  <c r="AU117" i="12" s="1"/>
  <c r="L117" i="12"/>
  <c r="AV116" i="12"/>
  <c r="AW116" i="12" s="1"/>
  <c r="Y116" i="12"/>
  <c r="AU116" i="12" s="1"/>
  <c r="L116" i="12"/>
  <c r="AV115" i="12"/>
  <c r="AW115" i="12" s="1"/>
  <c r="Y115" i="12"/>
  <c r="AU115" i="12" s="1"/>
  <c r="L115" i="12"/>
  <c r="AV114" i="12"/>
  <c r="AW114" i="12" s="1"/>
  <c r="Y114" i="12"/>
  <c r="AU114" i="12" s="1"/>
  <c r="L114" i="12"/>
  <c r="AV113" i="12"/>
  <c r="AW113" i="12" s="1"/>
  <c r="Y113" i="12"/>
  <c r="AU113" i="12" s="1"/>
  <c r="L113" i="12"/>
  <c r="AV112" i="12"/>
  <c r="AW112" i="12" s="1"/>
  <c r="Y112" i="12"/>
  <c r="AU112" i="12" s="1"/>
  <c r="L112" i="12"/>
  <c r="AV111" i="12"/>
  <c r="AW111" i="12" s="1"/>
  <c r="Y111" i="12"/>
  <c r="AU111" i="12" s="1"/>
  <c r="L111" i="12"/>
  <c r="AV110" i="12"/>
  <c r="AW110" i="12" s="1"/>
  <c r="Y110" i="12"/>
  <c r="AU110" i="12" s="1"/>
  <c r="L110" i="12"/>
  <c r="AV109" i="12"/>
  <c r="AW109" i="12" s="1"/>
  <c r="Y109" i="12"/>
  <c r="AU109" i="12" s="1"/>
  <c r="L109" i="12"/>
  <c r="AV108" i="12"/>
  <c r="AW108" i="12" s="1"/>
  <c r="Y108" i="12"/>
  <c r="AU108" i="12" s="1"/>
  <c r="L108" i="12"/>
  <c r="AV107" i="12"/>
  <c r="AW107" i="12" s="1"/>
  <c r="Y107" i="12"/>
  <c r="AU107" i="12" s="1"/>
  <c r="L107" i="12"/>
  <c r="AV106" i="12"/>
  <c r="AW106" i="12" s="1"/>
  <c r="Y106" i="12"/>
  <c r="AU106" i="12" s="1"/>
  <c r="L106" i="12"/>
  <c r="AV105" i="12"/>
  <c r="AW105" i="12" s="1"/>
  <c r="Y105" i="12"/>
  <c r="AU105" i="12" s="1"/>
  <c r="L105" i="12"/>
  <c r="AV104" i="12"/>
  <c r="AW104" i="12" s="1"/>
  <c r="Y104" i="12"/>
  <c r="AU104" i="12" s="1"/>
  <c r="L104" i="12"/>
  <c r="AV103" i="12"/>
  <c r="AW103" i="12" s="1"/>
  <c r="Y103" i="12"/>
  <c r="AU103" i="12" s="1"/>
  <c r="L103" i="12"/>
  <c r="AV102" i="12"/>
  <c r="AW102" i="12" s="1"/>
  <c r="Y102" i="12"/>
  <c r="AU102" i="12" s="1"/>
  <c r="L102" i="12"/>
  <c r="AV101" i="12"/>
  <c r="AW101" i="12" s="1"/>
  <c r="Y101" i="12"/>
  <c r="AU101" i="12" s="1"/>
  <c r="L101" i="12"/>
  <c r="AV100" i="12"/>
  <c r="AW100" i="12" s="1"/>
  <c r="Y100" i="12"/>
  <c r="AU100" i="12" s="1"/>
  <c r="L100" i="12"/>
  <c r="AV99" i="12"/>
  <c r="AW99" i="12" s="1"/>
  <c r="Y99" i="12"/>
  <c r="AU99" i="12" s="1"/>
  <c r="L99" i="12"/>
  <c r="AV98" i="12"/>
  <c r="AW98" i="12" s="1"/>
  <c r="Y98" i="12"/>
  <c r="AU98" i="12" s="1"/>
  <c r="L98" i="12"/>
  <c r="AV97" i="12"/>
  <c r="AW97" i="12" s="1"/>
  <c r="Y97" i="12"/>
  <c r="AU97" i="12" s="1"/>
  <c r="L97" i="12"/>
  <c r="AV96" i="12"/>
  <c r="AW96" i="12" s="1"/>
  <c r="Y96" i="12"/>
  <c r="AU96" i="12" s="1"/>
  <c r="L96" i="12"/>
  <c r="AV95" i="12"/>
  <c r="AW95" i="12" s="1"/>
  <c r="Y95" i="12"/>
  <c r="AU95" i="12" s="1"/>
  <c r="L95" i="12"/>
  <c r="AV94" i="12"/>
  <c r="AW94" i="12" s="1"/>
  <c r="Y94" i="12"/>
  <c r="AU94" i="12" s="1"/>
  <c r="L94" i="12"/>
  <c r="AV93" i="12"/>
  <c r="AW93" i="12" s="1"/>
  <c r="Y93" i="12"/>
  <c r="AU93" i="12" s="1"/>
  <c r="L93" i="12"/>
  <c r="AV92" i="12"/>
  <c r="AW92" i="12" s="1"/>
  <c r="Y92" i="12"/>
  <c r="AU92" i="12" s="1"/>
  <c r="L92" i="12"/>
  <c r="AV91" i="12"/>
  <c r="AW91" i="12" s="1"/>
  <c r="Y91" i="12"/>
  <c r="AU91" i="12" s="1"/>
  <c r="L91" i="12"/>
  <c r="AV90" i="12"/>
  <c r="AW90" i="12" s="1"/>
  <c r="Y90" i="12"/>
  <c r="AU90" i="12" s="1"/>
  <c r="L90" i="12"/>
  <c r="AV89" i="12"/>
  <c r="AW89" i="12" s="1"/>
  <c r="Y89" i="12"/>
  <c r="AU89" i="12" s="1"/>
  <c r="L89" i="12"/>
  <c r="AV88" i="12"/>
  <c r="AW88" i="12" s="1"/>
  <c r="Y88" i="12"/>
  <c r="AU88" i="12" s="1"/>
  <c r="L88" i="12"/>
  <c r="AV87" i="12"/>
  <c r="AW87" i="12" s="1"/>
  <c r="Y87" i="12"/>
  <c r="AU87" i="12" s="1"/>
  <c r="L87" i="12"/>
  <c r="AV86" i="12"/>
  <c r="AW86" i="12" s="1"/>
  <c r="Y86" i="12"/>
  <c r="AU86" i="12" s="1"/>
  <c r="L86" i="12"/>
  <c r="AV85" i="12"/>
  <c r="AW85" i="12" s="1"/>
  <c r="Y85" i="12"/>
  <c r="AU85" i="12" s="1"/>
  <c r="L85" i="12"/>
  <c r="AV84" i="12"/>
  <c r="AW84" i="12" s="1"/>
  <c r="Y84" i="12"/>
  <c r="AU84" i="12" s="1"/>
  <c r="L84" i="12"/>
  <c r="AV83" i="12"/>
  <c r="AW83" i="12" s="1"/>
  <c r="Y83" i="12"/>
  <c r="AU83" i="12" s="1"/>
  <c r="L83" i="12"/>
  <c r="AV82" i="12"/>
  <c r="AW82" i="12" s="1"/>
  <c r="Y82" i="12"/>
  <c r="AU82" i="12" s="1"/>
  <c r="L82" i="12"/>
  <c r="AV81" i="12"/>
  <c r="AW81" i="12" s="1"/>
  <c r="Y81" i="12"/>
  <c r="AU81" i="12" s="1"/>
  <c r="L81" i="12"/>
  <c r="AV80" i="12"/>
  <c r="AW80" i="12" s="1"/>
  <c r="Y80" i="12"/>
  <c r="AU80" i="12" s="1"/>
  <c r="L80" i="12"/>
  <c r="AV79" i="12"/>
  <c r="AW79" i="12" s="1"/>
  <c r="Y79" i="12"/>
  <c r="AU79" i="12" s="1"/>
  <c r="L79" i="12"/>
  <c r="AV78" i="12"/>
  <c r="AW78" i="12" s="1"/>
  <c r="Y78" i="12"/>
  <c r="AU78" i="12" s="1"/>
  <c r="L78" i="12"/>
  <c r="AV77" i="12"/>
  <c r="AW77" i="12" s="1"/>
  <c r="Y77" i="12"/>
  <c r="AU77" i="12" s="1"/>
  <c r="L77" i="12"/>
  <c r="AV76" i="12"/>
  <c r="AW76" i="12" s="1"/>
  <c r="Y76" i="12"/>
  <c r="AU76" i="12" s="1"/>
  <c r="L76" i="12"/>
  <c r="AV75" i="12"/>
  <c r="AW75" i="12" s="1"/>
  <c r="Y75" i="12"/>
  <c r="AU75" i="12" s="1"/>
  <c r="L75" i="12"/>
  <c r="AV74" i="12"/>
  <c r="AW74" i="12" s="1"/>
  <c r="Y74" i="12"/>
  <c r="AU74" i="12" s="1"/>
  <c r="L74" i="12"/>
  <c r="AV73" i="12"/>
  <c r="AW73" i="12" s="1"/>
  <c r="Y73" i="12"/>
  <c r="AU73" i="12" s="1"/>
  <c r="L73" i="12"/>
  <c r="AV72" i="12"/>
  <c r="AW72" i="12" s="1"/>
  <c r="Y72" i="12"/>
  <c r="AU72" i="12" s="1"/>
  <c r="L72" i="12"/>
  <c r="AV71" i="12"/>
  <c r="AW71" i="12" s="1"/>
  <c r="Y71" i="12"/>
  <c r="AU71" i="12" s="1"/>
  <c r="L71" i="12"/>
  <c r="AV70" i="12"/>
  <c r="AW70" i="12" s="1"/>
  <c r="Y70" i="12"/>
  <c r="AU70" i="12" s="1"/>
  <c r="L70" i="12"/>
  <c r="AV69" i="12"/>
  <c r="AW69" i="12" s="1"/>
  <c r="Y69" i="12"/>
  <c r="AU69" i="12" s="1"/>
  <c r="L69" i="12"/>
  <c r="AV68" i="12"/>
  <c r="AW68" i="12" s="1"/>
  <c r="Y68" i="12"/>
  <c r="AU68" i="12" s="1"/>
  <c r="L68" i="12"/>
  <c r="AV67" i="12"/>
  <c r="AW67" i="12" s="1"/>
  <c r="Y67" i="12"/>
  <c r="AU67" i="12" s="1"/>
  <c r="L67" i="12"/>
  <c r="AV66" i="12"/>
  <c r="AW66" i="12" s="1"/>
  <c r="Y66" i="12"/>
  <c r="AU66" i="12" s="1"/>
  <c r="L66" i="12"/>
  <c r="AV65" i="12"/>
  <c r="AW65" i="12" s="1"/>
  <c r="Y65" i="12"/>
  <c r="AU65" i="12" s="1"/>
  <c r="L65" i="12"/>
  <c r="AV64" i="12"/>
  <c r="AW64" i="12" s="1"/>
  <c r="Y64" i="12"/>
  <c r="AU64" i="12" s="1"/>
  <c r="L64" i="12"/>
  <c r="AV63" i="12"/>
  <c r="AW63" i="12" s="1"/>
  <c r="Y63" i="12"/>
  <c r="AU63" i="12" s="1"/>
  <c r="L63" i="12"/>
  <c r="AV62" i="12"/>
  <c r="AW62" i="12" s="1"/>
  <c r="Y62" i="12"/>
  <c r="AU62" i="12" s="1"/>
  <c r="L62" i="12"/>
  <c r="AV61" i="12"/>
  <c r="AW61" i="12" s="1"/>
  <c r="Y61" i="12"/>
  <c r="AU61" i="12" s="1"/>
  <c r="L61" i="12"/>
  <c r="AV60" i="12"/>
  <c r="AW60" i="12" s="1"/>
  <c r="Y60" i="12"/>
  <c r="AU60" i="12" s="1"/>
  <c r="L60" i="12"/>
  <c r="AV59" i="12"/>
  <c r="AW59" i="12" s="1"/>
  <c r="Y59" i="12"/>
  <c r="AU59" i="12" s="1"/>
  <c r="L59" i="12"/>
  <c r="AV58" i="12"/>
  <c r="AW58" i="12" s="1"/>
  <c r="Y58" i="12"/>
  <c r="AU58" i="12" s="1"/>
  <c r="L58" i="12"/>
  <c r="AV57" i="12"/>
  <c r="AW57" i="12" s="1"/>
  <c r="Y57" i="12"/>
  <c r="AU57" i="12" s="1"/>
  <c r="L57" i="12"/>
  <c r="AV56" i="12"/>
  <c r="AW56" i="12" s="1"/>
  <c r="Y56" i="12"/>
  <c r="AU56" i="12" s="1"/>
  <c r="L56" i="12"/>
  <c r="AV55" i="12"/>
  <c r="AW55" i="12" s="1"/>
  <c r="Y55" i="12"/>
  <c r="AU55" i="12" s="1"/>
  <c r="L55" i="12"/>
  <c r="AV54" i="12"/>
  <c r="AW54" i="12" s="1"/>
  <c r="Y54" i="12"/>
  <c r="AU54" i="12" s="1"/>
  <c r="L54" i="12"/>
  <c r="AV53" i="12"/>
  <c r="AW53" i="12" s="1"/>
  <c r="Y53" i="12"/>
  <c r="AU53" i="12" s="1"/>
  <c r="L53" i="12"/>
  <c r="AV52" i="12"/>
  <c r="AW52" i="12" s="1"/>
  <c r="Y52" i="12"/>
  <c r="AU52" i="12" s="1"/>
  <c r="L52" i="12"/>
  <c r="AV51" i="12"/>
  <c r="AW51" i="12" s="1"/>
  <c r="Y51" i="12"/>
  <c r="AU51" i="12" s="1"/>
  <c r="L51" i="12"/>
  <c r="AV50" i="12"/>
  <c r="AW50" i="12" s="1"/>
  <c r="Y50" i="12"/>
  <c r="AU50" i="12" s="1"/>
  <c r="L50" i="12"/>
  <c r="AV49" i="12"/>
  <c r="AW49" i="12" s="1"/>
  <c r="Y49" i="12"/>
  <c r="AU49" i="12" s="1"/>
  <c r="L49" i="12"/>
  <c r="AV48" i="12"/>
  <c r="AW48" i="12" s="1"/>
  <c r="Y48" i="12"/>
  <c r="AU48" i="12" s="1"/>
  <c r="L48" i="12"/>
  <c r="AW47" i="12"/>
  <c r="AV47" i="12"/>
  <c r="AU47" i="12"/>
  <c r="Y47" i="12"/>
  <c r="L47" i="12"/>
  <c r="AV46" i="12"/>
  <c r="AW46" i="12" s="1"/>
  <c r="Y46" i="12"/>
  <c r="AU46" i="12" s="1"/>
  <c r="L46" i="12"/>
  <c r="AW45" i="12"/>
  <c r="AV45" i="12"/>
  <c r="Y45" i="12"/>
  <c r="AU45" i="12" s="1"/>
  <c r="L45" i="12"/>
  <c r="AV44" i="12"/>
  <c r="AW44" i="12" s="1"/>
  <c r="Y44" i="12"/>
  <c r="AU44" i="12" s="1"/>
  <c r="L44" i="12"/>
  <c r="AV43" i="12"/>
  <c r="AW43" i="12" s="1"/>
  <c r="AU43" i="12"/>
  <c r="Y43" i="12"/>
  <c r="L43" i="12"/>
  <c r="AV42" i="12"/>
  <c r="AW42" i="12" s="1"/>
  <c r="Y42" i="12"/>
  <c r="AU42" i="12" s="1"/>
  <c r="L42" i="12"/>
  <c r="AW41" i="12"/>
  <c r="AV41" i="12"/>
  <c r="Y41" i="12"/>
  <c r="AU41" i="12" s="1"/>
  <c r="L41" i="12"/>
  <c r="AV40" i="12"/>
  <c r="AW40" i="12" s="1"/>
  <c r="Y40" i="12"/>
  <c r="AU40" i="12" s="1"/>
  <c r="L40" i="12"/>
  <c r="AV39" i="12"/>
  <c r="AW39" i="12" s="1"/>
  <c r="AU39" i="12"/>
  <c r="Y39" i="12"/>
  <c r="L39" i="12"/>
  <c r="AV38" i="12"/>
  <c r="AW38" i="12" s="1"/>
  <c r="Y38" i="12"/>
  <c r="AU38" i="12" s="1"/>
  <c r="L38" i="12"/>
  <c r="AV37" i="12"/>
  <c r="AW37" i="12" s="1"/>
  <c r="Y37" i="12"/>
  <c r="AU37" i="12" s="1"/>
  <c r="L37" i="12"/>
  <c r="AV36" i="12"/>
  <c r="AW36" i="12" s="1"/>
  <c r="Y36" i="12"/>
  <c r="AU36" i="12" s="1"/>
  <c r="L36" i="12"/>
  <c r="AV35" i="12"/>
  <c r="AW35" i="12" s="1"/>
  <c r="Y35" i="12"/>
  <c r="AU35" i="12" s="1"/>
  <c r="L35" i="12"/>
  <c r="AV34" i="12"/>
  <c r="AW34" i="12" s="1"/>
  <c r="Y34" i="12"/>
  <c r="AU34" i="12" s="1"/>
  <c r="L34" i="12"/>
  <c r="AV33" i="12"/>
  <c r="AW33" i="12" s="1"/>
  <c r="Y33" i="12"/>
  <c r="AU33" i="12" s="1"/>
  <c r="L33" i="12"/>
  <c r="AV32" i="12"/>
  <c r="AW32" i="12" s="1"/>
  <c r="Y32" i="12"/>
  <c r="AU32" i="12" s="1"/>
  <c r="L32" i="12"/>
  <c r="AV31" i="12"/>
  <c r="AW31" i="12" s="1"/>
  <c r="Y31" i="12"/>
  <c r="AU31" i="12" s="1"/>
  <c r="L31" i="12"/>
  <c r="AV30" i="12"/>
  <c r="AW30" i="12" s="1"/>
  <c r="Y30" i="12"/>
  <c r="AU30" i="12" s="1"/>
  <c r="L30" i="12"/>
  <c r="AV29" i="12"/>
  <c r="AW29" i="12" s="1"/>
  <c r="Y29" i="12"/>
  <c r="AU29" i="12" s="1"/>
  <c r="L29" i="12"/>
  <c r="AV28" i="12"/>
  <c r="AW28" i="12" s="1"/>
  <c r="Y28" i="12"/>
  <c r="AU28" i="12" s="1"/>
  <c r="L28" i="12"/>
  <c r="AV27" i="12"/>
  <c r="AW27" i="12" s="1"/>
  <c r="Y27" i="12"/>
  <c r="AU27" i="12" s="1"/>
  <c r="L27" i="12"/>
  <c r="AV26" i="12"/>
  <c r="AW26" i="12" s="1"/>
  <c r="Y26" i="12"/>
  <c r="AU26" i="12" s="1"/>
  <c r="L26" i="12"/>
  <c r="AV25" i="12"/>
  <c r="AW25" i="12" s="1"/>
  <c r="Y25" i="12"/>
  <c r="AU25" i="12" s="1"/>
  <c r="L25" i="12"/>
  <c r="AV24" i="12"/>
  <c r="AW24" i="12" s="1"/>
  <c r="Y24" i="12"/>
  <c r="AU24" i="12" s="1"/>
  <c r="L24" i="12"/>
  <c r="AV23" i="12"/>
  <c r="AW23" i="12" s="1"/>
  <c r="Y23" i="12"/>
  <c r="AU23" i="12" s="1"/>
  <c r="L23" i="12"/>
  <c r="AV22" i="12"/>
  <c r="AW22" i="12" s="1"/>
  <c r="Y22" i="12"/>
  <c r="AU22" i="12" s="1"/>
  <c r="L22" i="12"/>
  <c r="AV21" i="12"/>
  <c r="AW21" i="12" s="1"/>
  <c r="Y21" i="12"/>
  <c r="AU21" i="12" s="1"/>
  <c r="L21" i="12"/>
  <c r="AV20" i="12"/>
  <c r="AW20" i="12" s="1"/>
  <c r="Y20" i="12"/>
  <c r="AU20" i="12" s="1"/>
  <c r="L20" i="12"/>
  <c r="AV19" i="12"/>
  <c r="AW19" i="12" s="1"/>
  <c r="Y19" i="12"/>
  <c r="AU19" i="12" s="1"/>
  <c r="L19" i="12"/>
  <c r="AV18" i="12"/>
  <c r="AW18" i="12" s="1"/>
  <c r="Y18" i="12"/>
  <c r="AU18" i="12" s="1"/>
  <c r="L18" i="12"/>
  <c r="AV17" i="12"/>
  <c r="AW17" i="12" s="1"/>
  <c r="Y17" i="12"/>
  <c r="L17" i="12"/>
  <c r="D14" i="12"/>
  <c r="Y295" i="12" l="1"/>
  <c r="E14" i="12" s="1"/>
  <c r="AT297" i="12"/>
  <c r="AU297" i="12" s="1"/>
  <c r="L295" i="12"/>
  <c r="AU17" i="12"/>
  <c r="AU295" i="12" s="1"/>
  <c r="J192" i="11"/>
  <c r="AU299" i="12" l="1"/>
  <c r="AC192" i="11"/>
  <c r="AB192" i="11"/>
  <c r="AA192" i="11"/>
  <c r="Z192" i="11"/>
  <c r="R192" i="11"/>
  <c r="P192" i="11"/>
  <c r="L192" i="11"/>
  <c r="K192" i="11"/>
  <c r="AD189" i="11"/>
  <c r="Q189" i="11"/>
  <c r="AD188" i="11"/>
  <c r="Q188" i="11"/>
  <c r="AD187" i="11"/>
  <c r="Q187" i="11"/>
  <c r="AD186" i="11"/>
  <c r="Q186" i="11"/>
  <c r="AD185" i="11"/>
  <c r="Q185" i="11"/>
  <c r="AD184" i="11"/>
  <c r="Q184" i="11"/>
  <c r="AD183" i="11"/>
  <c r="Q183" i="11"/>
  <c r="AD182" i="11"/>
  <c r="Q182" i="11"/>
  <c r="AD181" i="11"/>
  <c r="Q181" i="11"/>
  <c r="AD180" i="11"/>
  <c r="Q180" i="11"/>
  <c r="AD179" i="11"/>
  <c r="Q179" i="11"/>
  <c r="AD178" i="11"/>
  <c r="O178" i="11"/>
  <c r="Q178" i="11" s="1"/>
  <c r="AD177" i="11"/>
  <c r="Q177" i="11"/>
  <c r="AD176" i="11"/>
  <c r="Q176" i="11"/>
  <c r="AD175" i="11"/>
  <c r="Q175" i="11"/>
  <c r="AD174" i="11"/>
  <c r="Q174" i="11"/>
  <c r="AD173" i="11"/>
  <c r="Q173" i="11"/>
  <c r="AD172" i="11"/>
  <c r="Q172" i="11"/>
  <c r="AD171" i="11"/>
  <c r="Q171" i="11"/>
  <c r="AD170" i="11"/>
  <c r="Q170" i="11"/>
  <c r="AD169" i="11"/>
  <c r="Q169" i="11"/>
  <c r="AD168" i="11"/>
  <c r="Q168" i="11"/>
  <c r="AD167" i="11"/>
  <c r="Q167" i="11"/>
  <c r="AD166" i="11"/>
  <c r="Q166" i="11"/>
  <c r="AD165" i="11"/>
  <c r="Q165" i="11"/>
  <c r="AD164" i="11"/>
  <c r="Q164" i="11"/>
  <c r="AD163" i="11"/>
  <c r="O163" i="11"/>
  <c r="Q163" i="11" s="1"/>
  <c r="AD162" i="11"/>
  <c r="Q162" i="11"/>
  <c r="AD161" i="11"/>
  <c r="Q161" i="11"/>
  <c r="AD160" i="11"/>
  <c r="Q160" i="11"/>
  <c r="AD159" i="11"/>
  <c r="Q159" i="11"/>
  <c r="AD158" i="11"/>
  <c r="Q158" i="11"/>
  <c r="AD157" i="11"/>
  <c r="Q157" i="11"/>
  <c r="AD156" i="11"/>
  <c r="Q156" i="11"/>
  <c r="AD155" i="11"/>
  <c r="Q155" i="11"/>
  <c r="AD154" i="11"/>
  <c r="Q154" i="11"/>
  <c r="AD153" i="11"/>
  <c r="Q153" i="11"/>
  <c r="AD152" i="11"/>
  <c r="Q152" i="11"/>
  <c r="AD151" i="11"/>
  <c r="Q151" i="11"/>
  <c r="AD150" i="11"/>
  <c r="Q150" i="11"/>
  <c r="AD149" i="11"/>
  <c r="Q149" i="11"/>
  <c r="AD148" i="11"/>
  <c r="Q148" i="11"/>
  <c r="AD147" i="11"/>
  <c r="Q147" i="11"/>
  <c r="AD146" i="11"/>
  <c r="Q146" i="11"/>
  <c r="AD145" i="11"/>
  <c r="Q145" i="11"/>
  <c r="AD144" i="11"/>
  <c r="Q144" i="11"/>
  <c r="AD143" i="11"/>
  <c r="Q143" i="11"/>
  <c r="AD142" i="11"/>
  <c r="Q142" i="11"/>
  <c r="AD141" i="11"/>
  <c r="Q141" i="11"/>
  <c r="AD140" i="11"/>
  <c r="Q140" i="11"/>
  <c r="AD139" i="11"/>
  <c r="Q139" i="11"/>
  <c r="AD138" i="11"/>
  <c r="Q138" i="11"/>
  <c r="AD137" i="11"/>
  <c r="Q137" i="11"/>
  <c r="AD136" i="11"/>
  <c r="Q136" i="11"/>
  <c r="AD135" i="11"/>
  <c r="Q135" i="11"/>
  <c r="AD134" i="11"/>
  <c r="Q134" i="11"/>
  <c r="AD133" i="11"/>
  <c r="Q133" i="11"/>
  <c r="AD132" i="11"/>
  <c r="Q132" i="11"/>
  <c r="AD131" i="11"/>
  <c r="Q131" i="11"/>
  <c r="AD130" i="11"/>
  <c r="O130" i="11"/>
  <c r="Q130" i="11" s="1"/>
  <c r="AD129" i="11"/>
  <c r="Q129" i="11"/>
  <c r="AD128" i="11"/>
  <c r="Q128" i="11"/>
  <c r="AD127" i="11"/>
  <c r="Q127" i="11"/>
  <c r="AD126" i="11"/>
  <c r="Q126" i="11"/>
  <c r="AD125" i="11"/>
  <c r="Q125" i="11"/>
  <c r="AD124" i="11"/>
  <c r="Q124" i="11"/>
  <c r="AD123" i="11"/>
  <c r="Q123" i="11"/>
  <c r="AD122" i="11"/>
  <c r="Q122" i="11"/>
  <c r="AD121" i="11"/>
  <c r="Q121" i="11"/>
  <c r="AD120" i="11"/>
  <c r="Q120" i="11"/>
  <c r="AD119" i="11"/>
  <c r="Q119" i="11"/>
  <c r="AD118" i="11"/>
  <c r="Q118" i="11"/>
  <c r="AD117" i="11"/>
  <c r="Q117" i="11"/>
  <c r="AD116" i="11"/>
  <c r="Q116" i="11"/>
  <c r="AD115" i="11"/>
  <c r="Q115" i="11"/>
  <c r="AD114" i="11"/>
  <c r="Q114" i="11"/>
  <c r="AD113" i="11"/>
  <c r="Q113" i="11"/>
  <c r="AD112" i="11"/>
  <c r="Q112" i="11"/>
  <c r="AD111" i="11"/>
  <c r="Q111" i="11"/>
  <c r="AD110" i="11"/>
  <c r="Q110" i="11"/>
  <c r="AD109" i="11"/>
  <c r="Q109" i="11"/>
  <c r="AD108" i="11"/>
  <c r="O108" i="11"/>
  <c r="N108" i="11"/>
  <c r="M108" i="11"/>
  <c r="AD107" i="11"/>
  <c r="Q107" i="11"/>
  <c r="AD106" i="11"/>
  <c r="Q106" i="11"/>
  <c r="AD105" i="11"/>
  <c r="M105" i="11"/>
  <c r="Q105" i="11" s="1"/>
  <c r="AD104" i="11"/>
  <c r="Q104" i="11"/>
  <c r="AD103" i="11"/>
  <c r="Q103" i="11"/>
  <c r="AD102" i="11"/>
  <c r="Q102" i="11"/>
  <c r="AD101" i="11"/>
  <c r="Q101" i="11"/>
  <c r="AD100" i="11"/>
  <c r="Q100" i="11"/>
  <c r="AD99" i="11"/>
  <c r="Q99" i="11"/>
  <c r="AD98" i="11"/>
  <c r="Q98" i="11"/>
  <c r="AD97" i="11"/>
  <c r="Q97" i="11"/>
  <c r="AD96" i="11"/>
  <c r="Q96" i="11"/>
  <c r="AD95" i="11"/>
  <c r="Q95" i="11"/>
  <c r="AD94" i="11"/>
  <c r="Q94" i="11"/>
  <c r="AD93" i="11"/>
  <c r="Q93" i="11"/>
  <c r="AD92" i="11"/>
  <c r="Q92" i="11"/>
  <c r="AD91" i="11"/>
  <c r="Q91" i="11"/>
  <c r="AD90" i="11"/>
  <c r="Q90" i="11"/>
  <c r="AD89" i="11"/>
  <c r="Q89" i="11"/>
  <c r="AD88" i="11"/>
  <c r="Q88" i="11"/>
  <c r="AD87" i="11"/>
  <c r="Q87" i="11"/>
  <c r="AD86" i="11"/>
  <c r="Q86" i="11"/>
  <c r="AD85" i="11"/>
  <c r="Q85" i="11"/>
  <c r="AD84" i="11"/>
  <c r="Q84" i="11"/>
  <c r="AD83" i="11"/>
  <c r="Q83" i="11"/>
  <c r="AD82" i="11"/>
  <c r="Q82" i="11"/>
  <c r="AD81" i="11"/>
  <c r="Q81" i="11"/>
  <c r="AD80" i="11"/>
  <c r="N80" i="11"/>
  <c r="Q80" i="11" s="1"/>
  <c r="AD79" i="11"/>
  <c r="Q79" i="11"/>
  <c r="AD78" i="11"/>
  <c r="M78" i="11"/>
  <c r="Q78" i="11" s="1"/>
  <c r="AD77" i="11"/>
  <c r="Q77" i="11"/>
  <c r="AD76" i="11"/>
  <c r="Q76" i="11"/>
  <c r="AD75" i="11"/>
  <c r="Q75" i="11"/>
  <c r="AD74" i="11"/>
  <c r="Q74" i="11"/>
  <c r="AD73" i="11"/>
  <c r="Q73" i="11"/>
  <c r="AD72" i="11"/>
  <c r="Q72" i="11"/>
  <c r="AD71" i="11"/>
  <c r="Q71" i="11"/>
  <c r="AD70" i="11"/>
  <c r="N70" i="11"/>
  <c r="Q70" i="11" s="1"/>
  <c r="AD69" i="11"/>
  <c r="Q69" i="11"/>
  <c r="AD68" i="11"/>
  <c r="M68" i="11"/>
  <c r="Q68" i="11" s="1"/>
  <c r="AD67" i="11"/>
  <c r="O67" i="11"/>
  <c r="Q67" i="11" s="1"/>
  <c r="AD66" i="11"/>
  <c r="O66" i="11"/>
  <c r="Q66" i="11" s="1"/>
  <c r="AD65" i="11"/>
  <c r="Q65" i="11"/>
  <c r="AD64" i="11"/>
  <c r="M64" i="11"/>
  <c r="Q64" i="11" s="1"/>
  <c r="AD63" i="11"/>
  <c r="Q63" i="11"/>
  <c r="AD62" i="11"/>
  <c r="O62" i="11"/>
  <c r="M62" i="11"/>
  <c r="Q62" i="11" s="1"/>
  <c r="AD61" i="11"/>
  <c r="Q61" i="11"/>
  <c r="AD60" i="11"/>
  <c r="Q60" i="11"/>
  <c r="AD59" i="11"/>
  <c r="Q59" i="11"/>
  <c r="AD58" i="11"/>
  <c r="Q58" i="11"/>
  <c r="AD57" i="11"/>
  <c r="Q57" i="11"/>
  <c r="AD56" i="11"/>
  <c r="Q56" i="11"/>
  <c r="AD55" i="11"/>
  <c r="Q55" i="11"/>
  <c r="AD54" i="11"/>
  <c r="Q54" i="11"/>
  <c r="AD53" i="11"/>
  <c r="Q53" i="11"/>
  <c r="AD52" i="11"/>
  <c r="M52" i="11"/>
  <c r="Q52" i="11" s="1"/>
  <c r="AD51" i="11"/>
  <c r="O51" i="11"/>
  <c r="Q51" i="11" s="1"/>
  <c r="AD50" i="11"/>
  <c r="O50" i="11"/>
  <c r="M50" i="11"/>
  <c r="AD49" i="11"/>
  <c r="Q49" i="11"/>
  <c r="AD48" i="11"/>
  <c r="Q48" i="11"/>
  <c r="AD47" i="11"/>
  <c r="Q47" i="11"/>
  <c r="AD46" i="11"/>
  <c r="Q46" i="11"/>
  <c r="AD45" i="11"/>
  <c r="Q45" i="11"/>
  <c r="AD44" i="11"/>
  <c r="Q44" i="11"/>
  <c r="AD43" i="11"/>
  <c r="Q43" i="11"/>
  <c r="AD42" i="11"/>
  <c r="Q42" i="11"/>
  <c r="AD41" i="11"/>
  <c r="Q41" i="11"/>
  <c r="AD40" i="11"/>
  <c r="Q40" i="11"/>
  <c r="AD39" i="11"/>
  <c r="Q39" i="11"/>
  <c r="AD38" i="11"/>
  <c r="Q38" i="11"/>
  <c r="AD37" i="11"/>
  <c r="Q37" i="11"/>
  <c r="AD36" i="11"/>
  <c r="Q36" i="11"/>
  <c r="AD35" i="11"/>
  <c r="Q35" i="11"/>
  <c r="AD34" i="11"/>
  <c r="N34" i="11"/>
  <c r="Q34" i="11" s="1"/>
  <c r="AD33" i="11"/>
  <c r="Q33" i="11"/>
  <c r="AD32" i="11"/>
  <c r="Q32" i="11"/>
  <c r="AD31" i="11"/>
  <c r="Q31" i="11"/>
  <c r="AD30" i="11"/>
  <c r="O30" i="11"/>
  <c r="N30" i="11"/>
  <c r="M30" i="11"/>
  <c r="AD29" i="11"/>
  <c r="Q29" i="11"/>
  <c r="AD28" i="11"/>
  <c r="O28" i="11"/>
  <c r="N28" i="11"/>
  <c r="AD27" i="11"/>
  <c r="Q27" i="11"/>
  <c r="AD26" i="11"/>
  <c r="Q26" i="11"/>
  <c r="AD25" i="11"/>
  <c r="N25" i="11"/>
  <c r="Q25" i="11" s="1"/>
  <c r="AD24" i="11"/>
  <c r="Q24" i="11"/>
  <c r="AD23" i="11"/>
  <c r="Q23" i="11"/>
  <c r="AD22" i="11"/>
  <c r="Q22" i="11"/>
  <c r="AD21" i="11"/>
  <c r="Q21" i="11"/>
  <c r="AD20" i="11"/>
  <c r="Q20" i="11"/>
  <c r="AD19" i="11"/>
  <c r="Q19" i="11"/>
  <c r="AD18" i="11"/>
  <c r="O18" i="11"/>
  <c r="Q18" i="11" s="1"/>
  <c r="AD17" i="11"/>
  <c r="Q17" i="11"/>
  <c r="AD16" i="11"/>
  <c r="Q16" i="11"/>
  <c r="AD15" i="11"/>
  <c r="Q15" i="11"/>
  <c r="AD14" i="11"/>
  <c r="Q14" i="11"/>
  <c r="AD13" i="11"/>
  <c r="Q13" i="11"/>
  <c r="AD12" i="11"/>
  <c r="O12" i="11"/>
  <c r="AE102" i="11" l="1"/>
  <c r="AE17" i="11"/>
  <c r="AE53" i="11"/>
  <c r="AE109" i="11"/>
  <c r="AE139" i="11"/>
  <c r="AE155" i="11"/>
  <c r="AE173" i="11"/>
  <c r="AE175" i="11"/>
  <c r="AE181" i="11"/>
  <c r="AE185" i="11"/>
  <c r="AE189" i="11"/>
  <c r="AE29" i="11"/>
  <c r="AE44" i="11"/>
  <c r="AE91" i="11"/>
  <c r="AE93" i="11"/>
  <c r="AE95" i="11"/>
  <c r="AE97" i="11"/>
  <c r="AD192" i="11"/>
  <c r="AE114" i="11"/>
  <c r="AE148" i="11"/>
  <c r="AE150" i="11"/>
  <c r="AE152" i="11"/>
  <c r="AE154" i="11"/>
  <c r="AE164" i="11"/>
  <c r="AE45" i="11"/>
  <c r="AE49" i="11"/>
  <c r="AE72" i="11"/>
  <c r="AE82" i="11"/>
  <c r="AE98" i="11"/>
  <c r="AE18" i="11"/>
  <c r="AE22" i="11"/>
  <c r="AE32" i="11"/>
  <c r="AE76" i="11"/>
  <c r="Q108" i="11"/>
  <c r="AE108" i="11" s="1"/>
  <c r="AE123" i="11"/>
  <c r="AE125" i="11"/>
  <c r="AE127" i="11"/>
  <c r="AE129" i="11"/>
  <c r="AE131" i="11"/>
  <c r="AE135" i="11"/>
  <c r="AE52" i="11"/>
  <c r="AE63" i="11"/>
  <c r="AE84" i="11"/>
  <c r="AE86" i="11"/>
  <c r="AE107" i="11"/>
  <c r="AE110" i="11"/>
  <c r="AE141" i="11"/>
  <c r="AE143" i="11"/>
  <c r="AE166" i="11"/>
  <c r="AE168" i="11"/>
  <c r="AE176" i="11"/>
  <c r="AE182" i="11"/>
  <c r="AE184" i="11"/>
  <c r="AE37" i="11"/>
  <c r="Q50" i="11"/>
  <c r="AE50" i="11" s="1"/>
  <c r="AE51" i="11"/>
  <c r="AE60" i="11"/>
  <c r="AE64" i="11"/>
  <c r="AE77" i="11"/>
  <c r="AE79" i="11"/>
  <c r="AE100" i="11"/>
  <c r="AE116" i="11"/>
  <c r="AE118" i="11"/>
  <c r="AE132" i="11"/>
  <c r="AE134" i="11"/>
  <c r="AE157" i="11"/>
  <c r="AE159" i="11"/>
  <c r="AE13" i="11"/>
  <c r="AE26" i="11"/>
  <c r="AE41" i="11"/>
  <c r="AE56" i="11"/>
  <c r="AE21" i="11"/>
  <c r="Q30" i="11"/>
  <c r="AE30" i="11" s="1"/>
  <c r="M192" i="11"/>
  <c r="AE36" i="11"/>
  <c r="AE81" i="11"/>
  <c r="AE90" i="11"/>
  <c r="AE94" i="11"/>
  <c r="AE105" i="11"/>
  <c r="AE111" i="11"/>
  <c r="AE113" i="11"/>
  <c r="AE122" i="11"/>
  <c r="AE126" i="11"/>
  <c r="AE136" i="11"/>
  <c r="AE138" i="11"/>
  <c r="AE147" i="11"/>
  <c r="AE151" i="11"/>
  <c r="AE172" i="11"/>
  <c r="AE16" i="11"/>
  <c r="AE27" i="11"/>
  <c r="AE57" i="11"/>
  <c r="AE61" i="11"/>
  <c r="AE70" i="11"/>
  <c r="AE177" i="11"/>
  <c r="AE186" i="11"/>
  <c r="AE188" i="11"/>
  <c r="AE31" i="11"/>
  <c r="AE43" i="11"/>
  <c r="AE46" i="11"/>
  <c r="AE48" i="11"/>
  <c r="AE54" i="11"/>
  <c r="AE59" i="11"/>
  <c r="AE62" i="11"/>
  <c r="AE71" i="11"/>
  <c r="AE83" i="11"/>
  <c r="AE85" i="11"/>
  <c r="AE99" i="11"/>
  <c r="AE101" i="11"/>
  <c r="AE106" i="11"/>
  <c r="AE115" i="11"/>
  <c r="AE117" i="11"/>
  <c r="AE140" i="11"/>
  <c r="AE142" i="11"/>
  <c r="AE156" i="11"/>
  <c r="AE158" i="11"/>
  <c r="AE165" i="11"/>
  <c r="AE167" i="11"/>
  <c r="AE15" i="11"/>
  <c r="AE20" i="11"/>
  <c r="AE23" i="11"/>
  <c r="AE33" i="11"/>
  <c r="AE35" i="11"/>
  <c r="AE38" i="11"/>
  <c r="AE40" i="11"/>
  <c r="AE66" i="11"/>
  <c r="AE68" i="11"/>
  <c r="AE73" i="11"/>
  <c r="AE75" i="11"/>
  <c r="AE80" i="11"/>
  <c r="AE87" i="11"/>
  <c r="AE89" i="11"/>
  <c r="AE96" i="11"/>
  <c r="AE103" i="11"/>
  <c r="AE112" i="11"/>
  <c r="AE119" i="11"/>
  <c r="AE121" i="11"/>
  <c r="AE128" i="11"/>
  <c r="AE130" i="11"/>
  <c r="AE137" i="11"/>
  <c r="AE144" i="11"/>
  <c r="AE146" i="11"/>
  <c r="AE153" i="11"/>
  <c r="AE160" i="11"/>
  <c r="AE162" i="11"/>
  <c r="AE169" i="11"/>
  <c r="AE171" i="11"/>
  <c r="AE180" i="11"/>
  <c r="AE58" i="11"/>
  <c r="AE67" i="11"/>
  <c r="AE178" i="11"/>
  <c r="AE187" i="11"/>
  <c r="N192" i="11"/>
  <c r="Q28" i="11"/>
  <c r="AE28" i="11" s="1"/>
  <c r="AE14" i="11"/>
  <c r="AE25" i="11"/>
  <c r="AE55" i="11"/>
  <c r="AE65" i="11"/>
  <c r="AE69" i="11"/>
  <c r="AE74" i="11"/>
  <c r="AE88" i="11"/>
  <c r="AE104" i="11"/>
  <c r="AE120" i="11"/>
  <c r="AE145" i="11"/>
  <c r="AE161" i="11"/>
  <c r="AE163" i="11"/>
  <c r="AE170" i="11"/>
  <c r="AE179" i="11"/>
  <c r="O192" i="11"/>
  <c r="AE19" i="11"/>
  <c r="AE24" i="11"/>
  <c r="AE34" i="11"/>
  <c r="AE39" i="11"/>
  <c r="AE42" i="11"/>
  <c r="AE47" i="11"/>
  <c r="AE78" i="11"/>
  <c r="AE92" i="11"/>
  <c r="AE124" i="11"/>
  <c r="AE133" i="11"/>
  <c r="AE149" i="11"/>
  <c r="AE174" i="11"/>
  <c r="AE183" i="11"/>
  <c r="Q12" i="11"/>
  <c r="Q192" i="11" l="1"/>
  <c r="E9" i="11" s="1"/>
  <c r="AE12" i="11"/>
  <c r="AE192" i="11" s="1"/>
  <c r="AS78" i="10" l="1"/>
  <c r="AR78" i="10"/>
  <c r="AQ78" i="10"/>
  <c r="AP78" i="10"/>
  <c r="AL78" i="10"/>
  <c r="AH78" i="10"/>
  <c r="AD78" i="10"/>
  <c r="Z78" i="10"/>
  <c r="X78" i="10"/>
  <c r="W78" i="10"/>
  <c r="V78" i="10"/>
  <c r="U78" i="10"/>
  <c r="T78" i="10"/>
  <c r="S78" i="10"/>
  <c r="R78" i="10"/>
  <c r="Q78" i="10"/>
  <c r="P78" i="10"/>
  <c r="O78" i="10"/>
  <c r="N78" i="10"/>
  <c r="M78" i="10"/>
  <c r="L78" i="10"/>
  <c r="K78" i="10"/>
  <c r="AT77" i="10"/>
  <c r="AU77" i="10" s="1"/>
  <c r="Y77" i="10"/>
  <c r="AT76" i="10"/>
  <c r="AU76" i="10" s="1"/>
  <c r="Y76" i="10"/>
  <c r="AU75" i="10"/>
  <c r="AT75" i="10"/>
  <c r="Y75" i="10"/>
  <c r="AT74" i="10"/>
  <c r="AU74" i="10" s="1"/>
  <c r="Y74" i="10"/>
  <c r="AT73" i="10"/>
  <c r="AU73" i="10" s="1"/>
  <c r="Y73" i="10"/>
  <c r="Y72" i="10"/>
  <c r="Y71" i="10"/>
  <c r="Y70" i="10"/>
  <c r="AU69" i="10"/>
  <c r="AT69" i="10"/>
  <c r="Y69" i="10"/>
  <c r="AT68" i="10"/>
  <c r="AU68" i="10" s="1"/>
  <c r="Y68" i="10"/>
  <c r="AT67" i="10"/>
  <c r="AU67" i="10" s="1"/>
  <c r="Y67" i="10"/>
  <c r="AT66" i="10"/>
  <c r="AU66" i="10" s="1"/>
  <c r="Y66" i="10"/>
  <c r="AU65" i="10"/>
  <c r="AT65" i="10"/>
  <c r="Y65" i="10"/>
  <c r="AT64" i="10"/>
  <c r="AU64" i="10" s="1"/>
  <c r="Y64" i="10"/>
  <c r="AT63" i="10"/>
  <c r="AU63" i="10" s="1"/>
  <c r="Y63" i="10"/>
  <c r="AT62" i="10"/>
  <c r="AU62" i="10" s="1"/>
  <c r="Y62" i="10"/>
  <c r="AU61" i="10"/>
  <c r="AT61" i="10"/>
  <c r="Y61" i="10"/>
  <c r="AT60" i="10"/>
  <c r="AU60" i="10" s="1"/>
  <c r="Y60" i="10"/>
  <c r="AT59" i="10"/>
  <c r="AU59" i="10" s="1"/>
  <c r="Y59" i="10"/>
  <c r="AT58" i="10"/>
  <c r="AU58" i="10" s="1"/>
  <c r="Y58" i="10"/>
  <c r="AU57" i="10"/>
  <c r="AT57" i="10"/>
  <c r="Y57" i="10"/>
  <c r="AT56" i="10"/>
  <c r="AU56" i="10" s="1"/>
  <c r="Y56" i="10"/>
  <c r="AT55" i="10"/>
  <c r="AU55" i="10" s="1"/>
  <c r="Y55" i="10"/>
  <c r="AT54" i="10"/>
  <c r="AU54" i="10" s="1"/>
  <c r="Y54" i="10"/>
  <c r="AU53" i="10"/>
  <c r="AT53" i="10"/>
  <c r="Y53" i="10"/>
  <c r="AT52" i="10"/>
  <c r="AU52" i="10" s="1"/>
  <c r="Y52" i="10"/>
  <c r="AT51" i="10"/>
  <c r="AU51" i="10" s="1"/>
  <c r="Y51" i="10"/>
  <c r="AT50" i="10"/>
  <c r="AU50" i="10" s="1"/>
  <c r="Y50" i="10"/>
  <c r="AU49" i="10"/>
  <c r="AT49" i="10"/>
  <c r="Y49" i="10"/>
  <c r="AT48" i="10"/>
  <c r="AU48" i="10" s="1"/>
  <c r="Y48" i="10"/>
  <c r="AT47" i="10"/>
  <c r="AU47" i="10" s="1"/>
  <c r="Y47" i="10"/>
  <c r="AT46" i="10"/>
  <c r="AU46" i="10" s="1"/>
  <c r="Y46" i="10"/>
  <c r="AU45" i="10"/>
  <c r="AT45" i="10"/>
  <c r="Y45" i="10"/>
  <c r="AT44" i="10"/>
  <c r="AU44" i="10" s="1"/>
  <c r="Y44" i="10"/>
  <c r="AT43" i="10"/>
  <c r="AU43" i="10" s="1"/>
  <c r="Y43" i="10"/>
  <c r="AT42" i="10"/>
  <c r="AU42" i="10" s="1"/>
  <c r="Y42" i="10"/>
  <c r="AU41" i="10"/>
  <c r="AT41" i="10"/>
  <c r="Y41" i="10"/>
  <c r="AT40" i="10"/>
  <c r="AU40" i="10" s="1"/>
  <c r="Y40" i="10"/>
  <c r="AT39" i="10"/>
  <c r="AU39" i="10" s="1"/>
  <c r="Y39" i="10"/>
  <c r="AT38" i="10"/>
  <c r="AU38" i="10" s="1"/>
  <c r="Y38" i="10"/>
  <c r="AU37" i="10"/>
  <c r="AT37" i="10"/>
  <c r="Y37" i="10"/>
  <c r="AT36" i="10"/>
  <c r="AU36" i="10" s="1"/>
  <c r="Y36" i="10"/>
  <c r="AT35" i="10"/>
  <c r="AU35" i="10" s="1"/>
  <c r="Y35" i="10"/>
  <c r="AT34" i="10"/>
  <c r="AU34" i="10" s="1"/>
  <c r="Y34" i="10"/>
  <c r="AU33" i="10"/>
  <c r="AT33" i="10"/>
  <c r="Y33" i="10"/>
  <c r="AT32" i="10"/>
  <c r="AU32" i="10" s="1"/>
  <c r="Y32" i="10"/>
  <c r="AT31" i="10"/>
  <c r="AU31" i="10" s="1"/>
  <c r="Y31" i="10"/>
  <c r="AT30" i="10"/>
  <c r="AU30" i="10" s="1"/>
  <c r="Y30" i="10"/>
  <c r="AU29" i="10"/>
  <c r="AT29" i="10"/>
  <c r="Y29" i="10"/>
  <c r="AT28" i="10"/>
  <c r="AU28" i="10" s="1"/>
  <c r="Y28" i="10"/>
  <c r="AT27" i="10"/>
  <c r="AU27" i="10" s="1"/>
  <c r="Y27" i="10"/>
  <c r="AT26" i="10"/>
  <c r="AU26" i="10" s="1"/>
  <c r="Y26" i="10"/>
  <c r="AU25" i="10"/>
  <c r="AT25" i="10"/>
  <c r="Y25" i="10"/>
  <c r="AT24" i="10"/>
  <c r="AU24" i="10" s="1"/>
  <c r="Y24" i="10"/>
  <c r="AT23" i="10"/>
  <c r="AU23" i="10" s="1"/>
  <c r="Y23" i="10"/>
  <c r="AT22" i="10"/>
  <c r="AU22" i="10" s="1"/>
  <c r="Y22" i="10"/>
  <c r="AU21" i="10"/>
  <c r="AT21" i="10"/>
  <c r="Y21" i="10"/>
  <c r="AT20" i="10"/>
  <c r="AU20" i="10" s="1"/>
  <c r="Y20" i="10"/>
  <c r="AT19" i="10"/>
  <c r="AU19" i="10" s="1"/>
  <c r="Y19" i="10"/>
  <c r="AT18" i="10"/>
  <c r="AU18" i="10" s="1"/>
  <c r="Y18" i="10"/>
  <c r="Y78" i="10" s="1"/>
  <c r="E13" i="10" s="1"/>
  <c r="AU17" i="10"/>
  <c r="AT17" i="10"/>
  <c r="Y17" i="10"/>
  <c r="AT16" i="10"/>
  <c r="AT78" i="10" s="1"/>
  <c r="Y16" i="10"/>
  <c r="AU16" i="10" l="1"/>
  <c r="AU78" i="10" s="1"/>
  <c r="J122" i="7" l="1"/>
  <c r="AP71" i="9"/>
  <c r="AL71" i="9"/>
  <c r="AH71" i="9"/>
  <c r="AD71" i="9"/>
  <c r="Z71" i="9"/>
  <c r="X71" i="9"/>
  <c r="W71" i="9"/>
  <c r="V71" i="9"/>
  <c r="U71" i="9"/>
  <c r="T71" i="9"/>
  <c r="S71" i="9"/>
  <c r="R71" i="9"/>
  <c r="Q71" i="9"/>
  <c r="P71" i="9"/>
  <c r="O71" i="9"/>
  <c r="N71" i="9"/>
  <c r="M71" i="9"/>
  <c r="L71" i="9"/>
  <c r="K71" i="9"/>
  <c r="J71" i="9"/>
  <c r="AT70" i="9"/>
  <c r="Y70" i="9"/>
  <c r="AT69" i="9"/>
  <c r="Y69" i="9"/>
  <c r="AT68" i="9"/>
  <c r="Y68" i="9"/>
  <c r="AT67" i="9"/>
  <c r="Y67" i="9"/>
  <c r="AT66" i="9"/>
  <c r="Y66" i="9"/>
  <c r="AT65" i="9"/>
  <c r="Y65" i="9"/>
  <c r="AT64" i="9"/>
  <c r="Y64" i="9"/>
  <c r="AT63" i="9"/>
  <c r="Y63" i="9"/>
  <c r="AT62" i="9"/>
  <c r="Y62" i="9"/>
  <c r="AT61" i="9"/>
  <c r="Y61" i="9"/>
  <c r="AT60" i="9"/>
  <c r="Y60" i="9"/>
  <c r="AT59" i="9"/>
  <c r="Y59" i="9"/>
  <c r="AT58" i="9"/>
  <c r="Y58" i="9"/>
  <c r="AT57" i="9"/>
  <c r="Y57" i="9"/>
  <c r="AT56" i="9"/>
  <c r="Y56" i="9"/>
  <c r="AT55" i="9"/>
  <c r="Y55" i="9"/>
  <c r="AT54" i="9"/>
  <c r="Y54" i="9"/>
  <c r="AT53" i="9"/>
  <c r="AU53" i="9" s="1"/>
  <c r="Y53" i="9"/>
  <c r="AT52" i="9"/>
  <c r="Y52" i="9"/>
  <c r="AT51" i="9"/>
  <c r="Y51" i="9"/>
  <c r="AT50" i="9"/>
  <c r="Y50" i="9"/>
  <c r="AT49" i="9"/>
  <c r="Y49" i="9"/>
  <c r="AT48" i="9"/>
  <c r="Y48" i="9"/>
  <c r="AT47" i="9"/>
  <c r="Y47" i="9"/>
  <c r="AT46" i="9"/>
  <c r="Y46" i="9"/>
  <c r="AT45" i="9"/>
  <c r="Y45" i="9"/>
  <c r="AT44" i="9"/>
  <c r="Y44" i="9"/>
  <c r="AT43" i="9"/>
  <c r="Y43" i="9"/>
  <c r="AT42" i="9"/>
  <c r="Y42" i="9"/>
  <c r="AT41" i="9"/>
  <c r="Y41" i="9"/>
  <c r="AT40" i="9"/>
  <c r="Y40" i="9"/>
  <c r="AT39" i="9"/>
  <c r="Y39" i="9"/>
  <c r="AT38" i="9"/>
  <c r="Y38" i="9"/>
  <c r="AT37" i="9"/>
  <c r="Y37" i="9"/>
  <c r="AT36" i="9"/>
  <c r="Y36" i="9"/>
  <c r="AT35" i="9"/>
  <c r="Y35" i="9"/>
  <c r="AT34" i="9"/>
  <c r="Y34" i="9"/>
  <c r="AT33" i="9"/>
  <c r="Y33" i="9"/>
  <c r="AT32" i="9"/>
  <c r="Y32" i="9"/>
  <c r="AT31" i="9"/>
  <c r="Y31" i="9"/>
  <c r="AT30" i="9"/>
  <c r="Y30" i="9"/>
  <c r="AT29" i="9"/>
  <c r="Y29" i="9"/>
  <c r="AT28" i="9"/>
  <c r="Y28" i="9"/>
  <c r="AT27" i="9"/>
  <c r="Y27" i="9"/>
  <c r="AT26" i="9"/>
  <c r="Y26" i="9"/>
  <c r="AT25" i="9"/>
  <c r="Y25" i="9"/>
  <c r="AT24" i="9"/>
  <c r="Y24" i="9"/>
  <c r="AT23" i="9"/>
  <c r="Y23" i="9"/>
  <c r="AT22" i="9"/>
  <c r="Y22" i="9"/>
  <c r="AT21" i="9"/>
  <c r="Y21" i="9"/>
  <c r="AT20" i="9"/>
  <c r="Y20" i="9"/>
  <c r="AT19" i="9"/>
  <c r="Y19" i="9"/>
  <c r="AT18" i="9"/>
  <c r="Y18" i="9"/>
  <c r="AT17" i="9"/>
  <c r="Y17" i="9"/>
  <c r="AT16" i="9"/>
  <c r="Y16" i="9"/>
  <c r="AU55" i="9" l="1"/>
  <c r="AU57" i="9"/>
  <c r="AU65" i="9"/>
  <c r="AU30" i="9"/>
  <c r="AU32" i="9"/>
  <c r="AU21" i="9"/>
  <c r="AU37" i="9"/>
  <c r="AU17" i="9"/>
  <c r="AU46" i="9"/>
  <c r="AU48" i="9"/>
  <c r="AU23" i="9"/>
  <c r="AU25" i="9"/>
  <c r="AU29" i="9"/>
  <c r="AU33" i="9"/>
  <c r="AU70" i="9"/>
  <c r="AU39" i="9"/>
  <c r="AU41" i="9"/>
  <c r="AU45" i="9"/>
  <c r="AU49" i="9"/>
  <c r="AU20" i="9"/>
  <c r="AU36" i="9"/>
  <c r="AU43" i="9"/>
  <c r="AU50" i="9"/>
  <c r="AU24" i="9"/>
  <c r="AU31" i="9"/>
  <c r="AU38" i="9"/>
  <c r="AU40" i="9"/>
  <c r="AU47" i="9"/>
  <c r="AU54" i="9"/>
  <c r="AU56" i="9"/>
  <c r="AU67" i="9"/>
  <c r="AU69" i="9"/>
  <c r="AU18" i="9"/>
  <c r="AU27" i="9"/>
  <c r="AU34" i="9"/>
  <c r="AU52" i="9"/>
  <c r="AU22" i="9"/>
  <c r="AU19" i="9"/>
  <c r="AU26" i="9"/>
  <c r="AU28" i="9"/>
  <c r="AU35" i="9"/>
  <c r="AU42" i="9"/>
  <c r="AU44" i="9"/>
  <c r="AU51" i="9"/>
  <c r="AU58" i="9"/>
  <c r="Y71" i="9"/>
  <c r="AU60" i="9"/>
  <c r="AU59" i="9"/>
  <c r="AU61" i="9"/>
  <c r="AT71" i="9"/>
  <c r="AU62" i="9"/>
  <c r="AU64" i="9"/>
  <c r="AU66" i="9"/>
  <c r="AU68" i="9"/>
  <c r="AU63" i="9"/>
  <c r="AU16" i="9"/>
  <c r="AU71" i="9" l="1"/>
  <c r="Y16" i="8"/>
  <c r="AT16" i="8"/>
  <c r="AU16" i="8" s="1"/>
  <c r="Y17" i="8"/>
  <c r="AT17" i="8"/>
  <c r="Y18" i="8"/>
  <c r="AT18" i="8"/>
  <c r="Y19" i="8"/>
  <c r="AT19" i="8"/>
  <c r="AU19" i="8" s="1"/>
  <c r="Y20" i="8"/>
  <c r="AT20" i="8"/>
  <c r="Y21" i="8"/>
  <c r="AT21" i="8"/>
  <c r="AU21" i="8"/>
  <c r="Y22" i="8"/>
  <c r="AT22" i="8"/>
  <c r="Y23" i="8"/>
  <c r="AT23" i="8"/>
  <c r="AU23" i="8" s="1"/>
  <c r="Y24" i="8"/>
  <c r="AU24" i="8" s="1"/>
  <c r="AT24" i="8"/>
  <c r="Y25" i="8"/>
  <c r="AT25" i="8"/>
  <c r="Y26" i="8"/>
  <c r="AT26" i="8"/>
  <c r="Y27" i="8"/>
  <c r="AT27" i="8"/>
  <c r="AU27" i="8" s="1"/>
  <c r="Y28" i="8"/>
  <c r="AT28" i="8"/>
  <c r="AU28" i="8" s="1"/>
  <c r="Y29" i="8"/>
  <c r="AT29" i="8"/>
  <c r="AU29" i="8" s="1"/>
  <c r="Y30" i="8"/>
  <c r="AT30" i="8"/>
  <c r="Y31" i="8"/>
  <c r="AT31" i="8"/>
  <c r="Y32" i="8"/>
  <c r="AT32" i="8"/>
  <c r="AU32" i="8" s="1"/>
  <c r="Y33" i="8"/>
  <c r="AT33" i="8"/>
  <c r="Y34" i="8"/>
  <c r="AT34" i="8"/>
  <c r="Y35" i="8"/>
  <c r="AT35" i="8"/>
  <c r="Y36" i="8"/>
  <c r="AT36" i="8"/>
  <c r="Y37" i="8"/>
  <c r="AU37" i="8" s="1"/>
  <c r="AT37" i="8"/>
  <c r="Y38" i="8"/>
  <c r="AT38" i="8"/>
  <c r="Y39" i="8"/>
  <c r="AT39" i="8"/>
  <c r="AU39" i="8" s="1"/>
  <c r="Y40" i="8"/>
  <c r="AT40" i="8"/>
  <c r="Y41" i="8"/>
  <c r="AT41" i="8"/>
  <c r="Y42" i="8"/>
  <c r="AT42" i="8"/>
  <c r="Y43" i="8"/>
  <c r="AT43" i="8"/>
  <c r="AU43" i="8" s="1"/>
  <c r="Y44" i="8"/>
  <c r="AT44" i="8"/>
  <c r="AU44" i="8" s="1"/>
  <c r="Y45" i="8"/>
  <c r="AT45" i="8"/>
  <c r="AU45" i="8" s="1"/>
  <c r="Y46" i="8"/>
  <c r="AT46" i="8"/>
  <c r="Y47" i="8"/>
  <c r="AT47" i="8"/>
  <c r="Y48" i="8"/>
  <c r="AT48" i="8"/>
  <c r="AU48" i="8" s="1"/>
  <c r="Y49" i="8"/>
  <c r="AT49" i="8"/>
  <c r="Y50" i="8"/>
  <c r="AT50" i="8"/>
  <c r="Y51" i="8"/>
  <c r="AT51" i="8"/>
  <c r="Y52" i="8"/>
  <c r="AT52" i="8"/>
  <c r="Y53" i="8"/>
  <c r="AT53" i="8"/>
  <c r="AU53" i="8"/>
  <c r="Y54" i="8"/>
  <c r="AT54" i="8"/>
  <c r="Y55" i="8"/>
  <c r="AT55" i="8"/>
  <c r="AU55" i="8" s="1"/>
  <c r="Y56" i="8"/>
  <c r="AT56" i="8"/>
  <c r="Y57" i="8"/>
  <c r="AT57" i="8"/>
  <c r="Y58" i="8"/>
  <c r="AT58" i="8"/>
  <c r="Y59" i="8"/>
  <c r="AT59" i="8"/>
  <c r="AU59" i="8" s="1"/>
  <c r="Y60" i="8"/>
  <c r="AT60" i="8"/>
  <c r="AU60" i="8" s="1"/>
  <c r="Y61" i="8"/>
  <c r="AT61" i="8"/>
  <c r="AU61" i="8" s="1"/>
  <c r="Y62" i="8"/>
  <c r="AT62" i="8"/>
  <c r="Y63" i="8"/>
  <c r="AT63" i="8"/>
  <c r="Y64" i="8"/>
  <c r="AT64" i="8"/>
  <c r="AU64" i="8" s="1"/>
  <c r="Y65" i="8"/>
  <c r="AT65" i="8"/>
  <c r="Y66" i="8"/>
  <c r="AT66" i="8"/>
  <c r="Y67" i="8"/>
  <c r="AT67" i="8"/>
  <c r="Y68" i="8"/>
  <c r="AT68" i="8"/>
  <c r="Y69" i="8"/>
  <c r="AU69" i="8" s="1"/>
  <c r="AT69" i="8"/>
  <c r="Y70" i="8"/>
  <c r="AT70" i="8"/>
  <c r="Y71" i="8"/>
  <c r="AT71" i="8"/>
  <c r="AU71" i="8" s="1"/>
  <c r="Y72" i="8"/>
  <c r="AT72" i="8"/>
  <c r="Y73" i="8"/>
  <c r="AT73" i="8"/>
  <c r="Y74" i="8"/>
  <c r="AT74" i="8"/>
  <c r="Y75" i="8"/>
  <c r="AT75" i="8"/>
  <c r="AU75" i="8" s="1"/>
  <c r="Y76" i="8"/>
  <c r="AT76" i="8"/>
  <c r="AU76" i="8" s="1"/>
  <c r="Y77" i="8"/>
  <c r="AT77" i="8"/>
  <c r="AU77" i="8" s="1"/>
  <c r="Y78" i="8"/>
  <c r="AT78" i="8"/>
  <c r="Y79" i="8"/>
  <c r="AT79" i="8"/>
  <c r="Y80" i="8"/>
  <c r="AT80" i="8"/>
  <c r="AU80" i="8" s="1"/>
  <c r="Y81" i="8"/>
  <c r="AT81" i="8"/>
  <c r="Y82" i="8"/>
  <c r="AT82" i="8"/>
  <c r="Y83" i="8"/>
  <c r="AT83" i="8"/>
  <c r="Y84" i="8"/>
  <c r="AT84" i="8"/>
  <c r="Y85" i="8"/>
  <c r="AT85" i="8"/>
  <c r="AU85" i="8"/>
  <c r="Y86" i="8"/>
  <c r="AT86" i="8"/>
  <c r="Y87" i="8"/>
  <c r="AT87" i="8"/>
  <c r="AU87" i="8" s="1"/>
  <c r="Y88" i="8"/>
  <c r="AT88" i="8"/>
  <c r="Y89" i="8"/>
  <c r="AT89" i="8"/>
  <c r="Y90" i="8"/>
  <c r="AT90" i="8"/>
  <c r="Y91" i="8"/>
  <c r="AT91" i="8"/>
  <c r="AU91" i="8" s="1"/>
  <c r="Y92" i="8"/>
  <c r="AT92" i="8"/>
  <c r="AU92" i="8" s="1"/>
  <c r="Y93" i="8"/>
  <c r="AT93" i="8"/>
  <c r="AU93" i="8" s="1"/>
  <c r="Y94" i="8"/>
  <c r="AT94" i="8"/>
  <c r="Y95" i="8"/>
  <c r="AT95" i="8"/>
  <c r="Y96" i="8"/>
  <c r="AT96" i="8"/>
  <c r="AU96" i="8" s="1"/>
  <c r="Y97" i="8"/>
  <c r="AT97" i="8"/>
  <c r="Y98" i="8"/>
  <c r="AT98" i="8"/>
  <c r="Y99" i="8"/>
  <c r="AT99" i="8"/>
  <c r="Y100" i="8"/>
  <c r="AT100" i="8"/>
  <c r="Y122" i="8"/>
  <c r="AT122" i="8"/>
  <c r="AU122" i="8"/>
  <c r="K123" i="8"/>
  <c r="M123" i="8"/>
  <c r="N123" i="8"/>
  <c r="O123" i="8"/>
  <c r="P123" i="8"/>
  <c r="Q123" i="8"/>
  <c r="R123" i="8"/>
  <c r="S123" i="8"/>
  <c r="T123" i="8"/>
  <c r="U123" i="8"/>
  <c r="V123" i="8"/>
  <c r="W123" i="8"/>
  <c r="X123" i="8"/>
  <c r="Z123" i="8"/>
  <c r="AD123" i="8"/>
  <c r="AH123" i="8"/>
  <c r="AL123" i="8"/>
  <c r="AP123" i="8"/>
  <c r="AU99" i="8" l="1"/>
  <c r="AU88" i="8"/>
  <c r="AU84" i="8"/>
  <c r="AU67" i="8"/>
  <c r="AU56" i="8"/>
  <c r="AU52" i="8"/>
  <c r="AU35" i="8"/>
  <c r="AU20" i="8"/>
  <c r="AU100" i="8"/>
  <c r="AU83" i="8"/>
  <c r="AU72" i="8"/>
  <c r="AU68" i="8"/>
  <c r="AU51" i="8"/>
  <c r="AU40" i="8"/>
  <c r="AU36" i="8"/>
  <c r="AU89" i="8"/>
  <c r="AU73" i="8"/>
  <c r="AU41" i="8"/>
  <c r="AT123" i="8"/>
  <c r="AU57" i="8"/>
  <c r="AU25" i="8"/>
  <c r="AU97" i="8"/>
  <c r="AU95" i="8"/>
  <c r="AU81" i="8"/>
  <c r="AU79" i="8"/>
  <c r="AU65" i="8"/>
  <c r="AU63" i="8"/>
  <c r="AU49" i="8"/>
  <c r="AU47" i="8"/>
  <c r="AU33" i="8"/>
  <c r="AU31" i="8"/>
  <c r="AU17" i="8"/>
  <c r="AU98" i="8"/>
  <c r="AU90" i="8"/>
  <c r="AU82" i="8"/>
  <c r="AU74" i="8"/>
  <c r="AU66" i="8"/>
  <c r="AU58" i="8"/>
  <c r="AU50" i="8"/>
  <c r="AU42" i="8"/>
  <c r="AU34" i="8"/>
  <c r="AU26" i="8"/>
  <c r="AU18" i="8"/>
  <c r="AU123" i="8" s="1"/>
  <c r="AU94" i="8"/>
  <c r="AU86" i="8"/>
  <c r="AU78" i="8"/>
  <c r="AU70" i="8"/>
  <c r="AU62" i="8"/>
  <c r="AU54" i="8"/>
  <c r="AU46" i="8"/>
  <c r="AU38" i="8"/>
  <c r="AU30" i="8"/>
  <c r="AU22" i="8"/>
  <c r="Y123" i="8"/>
  <c r="E13" i="8" s="1"/>
  <c r="AT120" i="7"/>
  <c r="AT119" i="7"/>
  <c r="AT118" i="7"/>
  <c r="AT117" i="7"/>
  <c r="AT116" i="7"/>
  <c r="AT115" i="7"/>
  <c r="AT114" i="7"/>
  <c r="AT113" i="7"/>
  <c r="AT112" i="7"/>
  <c r="AT111" i="7"/>
  <c r="AT110" i="7"/>
  <c r="AT109" i="7"/>
  <c r="AT108" i="7"/>
  <c r="AT107" i="7"/>
  <c r="AT106" i="7"/>
  <c r="AT105" i="7"/>
  <c r="AT104" i="7"/>
  <c r="AT103" i="7"/>
  <c r="AT102" i="7"/>
  <c r="AT101" i="7"/>
  <c r="AT100" i="7"/>
  <c r="AT99" i="7"/>
  <c r="AT98" i="7"/>
  <c r="AT97" i="7"/>
  <c r="AT96" i="7"/>
  <c r="AT95" i="7"/>
  <c r="AT94" i="7"/>
  <c r="AT93" i="7"/>
  <c r="AT92" i="7"/>
  <c r="AT91" i="7"/>
  <c r="AT90" i="7"/>
  <c r="AT89" i="7"/>
  <c r="AT88" i="7"/>
  <c r="AT87" i="7"/>
  <c r="AT86" i="7"/>
  <c r="AT85" i="7"/>
  <c r="AT84" i="7"/>
  <c r="AT83" i="7"/>
  <c r="AT82" i="7"/>
  <c r="AT81" i="7"/>
  <c r="AT80" i="7"/>
  <c r="AT79" i="7"/>
  <c r="AT78" i="7"/>
  <c r="AT77" i="7"/>
  <c r="AT76" i="7"/>
  <c r="AT75" i="7"/>
  <c r="AT74" i="7"/>
  <c r="AT73" i="7"/>
  <c r="AT72" i="7"/>
  <c r="AT71" i="7"/>
  <c r="AT70" i="7"/>
  <c r="AT69" i="7"/>
  <c r="AT68" i="7"/>
  <c r="AT67" i="7"/>
  <c r="AT66" i="7"/>
  <c r="AT65" i="7"/>
  <c r="AT64" i="7"/>
  <c r="AT63" i="7"/>
  <c r="AT62" i="7"/>
  <c r="AT61" i="7"/>
  <c r="AT60" i="7"/>
  <c r="AT59" i="7"/>
  <c r="AT58" i="7"/>
  <c r="AT57" i="7"/>
  <c r="AT56" i="7"/>
  <c r="AT55" i="7"/>
  <c r="AT54" i="7"/>
  <c r="AT53" i="7"/>
  <c r="AT52" i="7"/>
  <c r="AT51" i="7"/>
  <c r="AT50" i="7"/>
  <c r="AT49" i="7"/>
  <c r="AT48" i="7"/>
  <c r="AT47" i="7"/>
  <c r="AT46" i="7"/>
  <c r="AT45" i="7"/>
  <c r="AT44" i="7"/>
  <c r="AT43" i="7"/>
  <c r="AT42" i="7"/>
  <c r="AT41" i="7"/>
  <c r="AT40" i="7"/>
  <c r="AT39" i="7"/>
  <c r="AT38" i="7"/>
  <c r="AT37" i="7"/>
  <c r="AT36" i="7"/>
  <c r="AT35" i="7"/>
  <c r="AT34" i="7"/>
  <c r="AT33" i="7"/>
  <c r="AT32" i="7"/>
  <c r="AT31" i="7"/>
  <c r="AT30" i="7"/>
  <c r="AT29" i="7"/>
  <c r="AT28" i="7"/>
  <c r="AT27" i="7"/>
  <c r="AT26" i="7"/>
  <c r="AT25" i="7"/>
  <c r="AT24" i="7"/>
  <c r="AT23" i="7"/>
  <c r="AT22" i="7"/>
  <c r="AT21" i="7"/>
  <c r="AT20" i="7"/>
  <c r="AT19" i="7"/>
  <c r="AT18" i="7"/>
  <c r="AT17" i="7"/>
  <c r="AT16" i="7"/>
  <c r="Y85" i="7"/>
  <c r="Y86" i="7"/>
  <c r="Y87" i="7"/>
  <c r="Y88" i="7"/>
  <c r="Y89" i="7"/>
  <c r="Y90" i="7"/>
  <c r="Y91" i="7"/>
  <c r="Y92" i="7"/>
  <c r="Y93" i="7"/>
  <c r="Y94" i="7"/>
  <c r="Y95" i="7"/>
  <c r="Y96" i="7"/>
  <c r="Y97" i="7"/>
  <c r="Y98" i="7"/>
  <c r="Y99" i="7"/>
  <c r="Y100" i="7"/>
  <c r="Y101" i="7"/>
  <c r="Y102" i="7"/>
  <c r="Y103" i="7"/>
  <c r="Y104" i="7"/>
  <c r="Y105" i="7"/>
  <c r="Y106" i="7"/>
  <c r="Y107" i="7"/>
  <c r="Y108" i="7"/>
  <c r="Y109" i="7"/>
  <c r="Y110" i="7"/>
  <c r="Y111" i="7"/>
  <c r="Y112" i="7"/>
  <c r="Y113" i="7"/>
  <c r="Y114" i="7"/>
  <c r="Y115" i="7"/>
  <c r="Y116" i="7"/>
  <c r="Y117" i="7"/>
  <c r="Y118" i="7"/>
  <c r="Y119" i="7"/>
  <c r="Y120" i="7"/>
  <c r="Y121" i="7"/>
  <c r="Y26" i="7"/>
  <c r="Y27" i="7"/>
  <c r="Y28" i="7"/>
  <c r="Y29" i="7"/>
  <c r="Y30" i="7"/>
  <c r="Y31" i="7"/>
  <c r="Y32" i="7"/>
  <c r="Y33" i="7"/>
  <c r="Y34" i="7"/>
  <c r="Y35" i="7"/>
  <c r="Y36" i="7"/>
  <c r="Y37" i="7"/>
  <c r="Y38" i="7"/>
  <c r="Y39" i="7"/>
  <c r="Y40" i="7"/>
  <c r="Y41" i="7"/>
  <c r="Y42" i="7"/>
  <c r="Y43" i="7"/>
  <c r="Y44" i="7"/>
  <c r="Y45" i="7"/>
  <c r="Y46" i="7"/>
  <c r="Y47" i="7"/>
  <c r="Y48" i="7"/>
  <c r="Y49" i="7"/>
  <c r="Y50" i="7"/>
  <c r="Y51" i="7"/>
  <c r="Y52" i="7"/>
  <c r="Y53" i="7"/>
  <c r="Y54" i="7"/>
  <c r="Y55" i="7"/>
  <c r="Y56" i="7"/>
  <c r="Y57" i="7"/>
  <c r="Y58" i="7"/>
  <c r="Y59" i="7"/>
  <c r="Y60" i="7"/>
  <c r="Y61" i="7"/>
  <c r="Y62" i="7"/>
  <c r="Y63" i="7"/>
  <c r="Y64" i="7"/>
  <c r="Y65" i="7"/>
  <c r="Y66" i="7"/>
  <c r="Y67" i="7"/>
  <c r="Y68" i="7"/>
  <c r="Y69" i="7"/>
  <c r="Y70" i="7"/>
  <c r="Y71" i="7"/>
  <c r="Y72" i="7"/>
  <c r="Y73" i="7"/>
  <c r="Y74" i="7"/>
  <c r="Y75" i="7"/>
  <c r="Y76" i="7"/>
  <c r="Y77" i="7"/>
  <c r="Y78" i="7"/>
  <c r="Y79" i="7"/>
  <c r="Y80" i="7"/>
  <c r="Y81" i="7"/>
  <c r="Y82" i="7"/>
  <c r="Y83" i="7"/>
  <c r="Y84" i="7"/>
  <c r="Y17" i="7"/>
  <c r="Y18" i="7"/>
  <c r="Y19" i="7"/>
  <c r="Y20" i="7"/>
  <c r="Y21" i="7"/>
  <c r="Y22" i="7"/>
  <c r="Y23" i="7"/>
  <c r="Y24" i="7"/>
  <c r="Y25" i="7"/>
  <c r="Y16" i="7"/>
  <c r="AT121" i="7"/>
  <c r="AP122" i="7"/>
  <c r="AL122" i="7"/>
  <c r="AH122" i="7"/>
  <c r="AD122" i="7"/>
  <c r="Z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L122" i="7"/>
  <c r="K122" i="7"/>
  <c r="N33" i="7"/>
  <c r="AU60" i="7" l="1"/>
  <c r="AU68" i="7"/>
  <c r="AU72" i="7"/>
  <c r="AU121" i="7"/>
  <c r="AU26" i="7"/>
  <c r="AU30" i="7"/>
  <c r="AU34" i="7"/>
  <c r="AU38" i="7"/>
  <c r="AU42" i="7"/>
  <c r="AU46" i="7"/>
  <c r="AU50" i="7"/>
  <c r="AU54" i="7"/>
  <c r="AU58" i="7"/>
  <c r="AU62" i="7"/>
  <c r="AU66" i="7"/>
  <c r="AU70" i="7"/>
  <c r="AU74" i="7"/>
  <c r="AU90" i="7"/>
  <c r="AU94" i="7"/>
  <c r="AU98" i="7"/>
  <c r="AU102" i="7"/>
  <c r="AU106" i="7"/>
  <c r="AU110" i="7"/>
  <c r="AU114" i="7"/>
  <c r="AU118" i="7"/>
  <c r="AU20" i="7"/>
  <c r="AU24" i="7"/>
  <c r="AU76" i="7"/>
  <c r="AU84" i="7"/>
  <c r="AU88" i="7"/>
  <c r="AU21" i="7"/>
  <c r="AU28" i="7"/>
  <c r="AU36" i="7"/>
  <c r="AU40" i="7"/>
  <c r="AU92" i="7"/>
  <c r="AU100" i="7"/>
  <c r="AU104" i="7"/>
  <c r="AU18" i="7"/>
  <c r="AU22" i="7"/>
  <c r="AU37" i="7"/>
  <c r="AU44" i="7"/>
  <c r="AU52" i="7"/>
  <c r="AU56" i="7"/>
  <c r="AU78" i="7"/>
  <c r="AU82" i="7"/>
  <c r="AU86" i="7"/>
  <c r="AU108" i="7"/>
  <c r="AU116" i="7"/>
  <c r="AU120" i="7"/>
  <c r="AU16" i="7"/>
  <c r="AU29" i="7"/>
  <c r="AU32" i="7"/>
  <c r="AU48" i="7"/>
  <c r="AU64" i="7"/>
  <c r="AU80" i="7"/>
  <c r="AU96" i="7"/>
  <c r="AU112" i="7"/>
  <c r="AU45" i="7"/>
  <c r="AU53" i="7"/>
  <c r="AU61" i="7"/>
  <c r="AU69" i="7"/>
  <c r="AU77" i="7"/>
  <c r="AU85" i="7"/>
  <c r="AU93" i="7"/>
  <c r="AU101" i="7"/>
  <c r="AU109" i="7"/>
  <c r="AU117" i="7"/>
  <c r="AT122" i="7"/>
  <c r="AU19" i="7"/>
  <c r="AU27" i="7"/>
  <c r="AU35" i="7"/>
  <c r="AU43" i="7"/>
  <c r="AU51" i="7"/>
  <c r="AU59" i="7"/>
  <c r="AU67" i="7"/>
  <c r="AU75" i="7"/>
  <c r="AU83" i="7"/>
  <c r="AU91" i="7"/>
  <c r="AU99" i="7"/>
  <c r="AU107" i="7"/>
  <c r="AU115" i="7"/>
  <c r="AU17" i="7"/>
  <c r="AU25" i="7"/>
  <c r="AU33" i="7"/>
  <c r="AU41" i="7"/>
  <c r="AU49" i="7"/>
  <c r="AU57" i="7"/>
  <c r="AU65" i="7"/>
  <c r="AU73" i="7"/>
  <c r="AU81" i="7"/>
  <c r="AU89" i="7"/>
  <c r="AU97" i="7"/>
  <c r="AU105" i="7"/>
  <c r="AU113" i="7"/>
  <c r="AU23" i="7"/>
  <c r="AU31" i="7"/>
  <c r="AU39" i="7"/>
  <c r="AU47" i="7"/>
  <c r="AU55" i="7"/>
  <c r="AU63" i="7"/>
  <c r="AU71" i="7"/>
  <c r="AU79" i="7"/>
  <c r="AU87" i="7"/>
  <c r="AU95" i="7"/>
  <c r="AU103" i="7"/>
  <c r="AU111" i="7"/>
  <c r="AU119" i="7"/>
  <c r="Y122" i="7"/>
  <c r="E13" i="7" s="1"/>
  <c r="AU122" i="7" l="1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Z64" i="6"/>
  <c r="X64" i="6"/>
  <c r="W64" i="6"/>
  <c r="V64" i="6"/>
  <c r="U64" i="6"/>
  <c r="T64" i="6"/>
  <c r="S64" i="6"/>
  <c r="R64" i="6"/>
  <c r="Q64" i="6"/>
  <c r="P64" i="6"/>
  <c r="O64" i="6"/>
  <c r="N64" i="6"/>
  <c r="M64" i="6"/>
  <c r="L64" i="6"/>
  <c r="K64" i="6"/>
  <c r="AT63" i="6"/>
  <c r="AU63" i="6" s="1"/>
  <c r="Y63" i="6"/>
  <c r="AT62" i="6"/>
  <c r="AU62" i="6" s="1"/>
  <c r="Y62" i="6"/>
  <c r="AT61" i="6"/>
  <c r="AU61" i="6" s="1"/>
  <c r="Y61" i="6"/>
  <c r="AU60" i="6"/>
  <c r="AT60" i="6"/>
  <c r="Y60" i="6"/>
  <c r="AT59" i="6"/>
  <c r="AU59" i="6" s="1"/>
  <c r="Y59" i="6"/>
  <c r="AT58" i="6"/>
  <c r="AU58" i="6" s="1"/>
  <c r="Y58" i="6"/>
  <c r="AT57" i="6"/>
  <c r="AU57" i="6" s="1"/>
  <c r="Y57" i="6"/>
  <c r="AU56" i="6"/>
  <c r="AT56" i="6"/>
  <c r="Y56" i="6"/>
  <c r="AT55" i="6"/>
  <c r="AU55" i="6" s="1"/>
  <c r="Y55" i="6"/>
  <c r="AT54" i="6"/>
  <c r="AU54" i="6" s="1"/>
  <c r="Y54" i="6"/>
  <c r="AT53" i="6"/>
  <c r="AU53" i="6" s="1"/>
  <c r="Y53" i="6"/>
  <c r="AU52" i="6"/>
  <c r="AT52" i="6"/>
  <c r="Y52" i="6"/>
  <c r="AT51" i="6"/>
  <c r="AU51" i="6" s="1"/>
  <c r="Y51" i="6"/>
  <c r="AT50" i="6"/>
  <c r="AU50" i="6" s="1"/>
  <c r="Y50" i="6"/>
  <c r="AT49" i="6"/>
  <c r="AU49" i="6" s="1"/>
  <c r="Y49" i="6"/>
  <c r="AU48" i="6"/>
  <c r="AT48" i="6"/>
  <c r="Y48" i="6"/>
  <c r="AT47" i="6"/>
  <c r="AU47" i="6" s="1"/>
  <c r="Y47" i="6"/>
  <c r="AT46" i="6"/>
  <c r="AU46" i="6" s="1"/>
  <c r="Y46" i="6"/>
  <c r="AT45" i="6"/>
  <c r="AU45" i="6" s="1"/>
  <c r="Y45" i="6"/>
  <c r="AU44" i="6"/>
  <c r="AT44" i="6"/>
  <c r="Y44" i="6"/>
  <c r="AT43" i="6"/>
  <c r="AU43" i="6" s="1"/>
  <c r="Y43" i="6"/>
  <c r="AT42" i="6"/>
  <c r="AU42" i="6" s="1"/>
  <c r="Y42" i="6"/>
  <c r="AT41" i="6"/>
  <c r="AU41" i="6" s="1"/>
  <c r="Y41" i="6"/>
  <c r="AU40" i="6"/>
  <c r="AT40" i="6"/>
  <c r="Y40" i="6"/>
  <c r="AT39" i="6"/>
  <c r="AU39" i="6" s="1"/>
  <c r="Y39" i="6"/>
  <c r="AT38" i="6"/>
  <c r="AU38" i="6" s="1"/>
  <c r="Y38" i="6"/>
  <c r="AT37" i="6"/>
  <c r="AU37" i="6" s="1"/>
  <c r="Y37" i="6"/>
  <c r="AU36" i="6"/>
  <c r="AT36" i="6"/>
  <c r="Y36" i="6"/>
  <c r="AT35" i="6"/>
  <c r="AU35" i="6" s="1"/>
  <c r="Y35" i="6"/>
  <c r="AT34" i="6"/>
  <c r="AU34" i="6" s="1"/>
  <c r="Y34" i="6"/>
  <c r="AT33" i="6"/>
  <c r="AU33" i="6" s="1"/>
  <c r="Y33" i="6"/>
  <c r="AU32" i="6"/>
  <c r="AT32" i="6"/>
  <c r="Y32" i="6"/>
  <c r="AT31" i="6"/>
  <c r="AU31" i="6" s="1"/>
  <c r="Y31" i="6"/>
  <c r="AT30" i="6"/>
  <c r="AU30" i="6" s="1"/>
  <c r="Y30" i="6"/>
  <c r="AT29" i="6"/>
  <c r="AU29" i="6" s="1"/>
  <c r="Y29" i="6"/>
  <c r="AU28" i="6"/>
  <c r="AT28" i="6"/>
  <c r="Y28" i="6"/>
  <c r="AT27" i="6"/>
  <c r="AU27" i="6" s="1"/>
  <c r="Y27" i="6"/>
  <c r="AT26" i="6"/>
  <c r="AU26" i="6" s="1"/>
  <c r="Y26" i="6"/>
  <c r="AT25" i="6"/>
  <c r="AU25" i="6" s="1"/>
  <c r="Y25" i="6"/>
  <c r="AU24" i="6"/>
  <c r="AT24" i="6"/>
  <c r="Y24" i="6"/>
  <c r="AT23" i="6"/>
  <c r="AU23" i="6" s="1"/>
  <c r="Y23" i="6"/>
  <c r="AT22" i="6"/>
  <c r="AU22" i="6" s="1"/>
  <c r="Y22" i="6"/>
  <c r="AT21" i="6"/>
  <c r="AU21" i="6" s="1"/>
  <c r="Y21" i="6"/>
  <c r="AU20" i="6"/>
  <c r="AT20" i="6"/>
  <c r="Y20" i="6"/>
  <c r="AT19" i="6"/>
  <c r="AU19" i="6" s="1"/>
  <c r="Y19" i="6"/>
  <c r="AT18" i="6"/>
  <c r="AU18" i="6" s="1"/>
  <c r="Y18" i="6"/>
  <c r="Y64" i="6" s="1"/>
  <c r="E13" i="6" s="1"/>
  <c r="AT17" i="6"/>
  <c r="AU17" i="6" s="1"/>
  <c r="Y17" i="6"/>
  <c r="AU16" i="6"/>
  <c r="AT16" i="6"/>
  <c r="Y16" i="6"/>
  <c r="AU64" i="6" l="1"/>
  <c r="AT64" i="6"/>
  <c r="Y16" i="5" l="1"/>
  <c r="AT16" i="5"/>
  <c r="AU16" i="5"/>
  <c r="Y17" i="5"/>
  <c r="AT17" i="5"/>
  <c r="AU17" i="5"/>
  <c r="Y18" i="5"/>
  <c r="AU18" i="5" s="1"/>
  <c r="AT18" i="5"/>
  <c r="Y19" i="5"/>
  <c r="AT19" i="5"/>
  <c r="AU19" i="5" s="1"/>
  <c r="Y20" i="5"/>
  <c r="AT20" i="5"/>
  <c r="AU20" i="5"/>
  <c r="Y21" i="5"/>
  <c r="AT21" i="5"/>
  <c r="AU21" i="5"/>
  <c r="Y22" i="5"/>
  <c r="AU22" i="5" s="1"/>
  <c r="AT22" i="5"/>
  <c r="Y23" i="5"/>
  <c r="AT23" i="5"/>
  <c r="AU23" i="5" s="1"/>
  <c r="Y24" i="5"/>
  <c r="AT24" i="5"/>
  <c r="AU24" i="5"/>
  <c r="Y25" i="5"/>
  <c r="AT25" i="5"/>
  <c r="AU25" i="5"/>
  <c r="Y26" i="5"/>
  <c r="AU26" i="5" s="1"/>
  <c r="AT26" i="5"/>
  <c r="Y27" i="5"/>
  <c r="AT27" i="5"/>
  <c r="AU27" i="5" s="1"/>
  <c r="Y28" i="5"/>
  <c r="AT28" i="5"/>
  <c r="AU28" i="5"/>
  <c r="Y29" i="5"/>
  <c r="AT29" i="5"/>
  <c r="AU29" i="5"/>
  <c r="Y30" i="5"/>
  <c r="AU30" i="5" s="1"/>
  <c r="AT30" i="5"/>
  <c r="Y31" i="5"/>
  <c r="AT31" i="5"/>
  <c r="AU31" i="5" s="1"/>
  <c r="Y32" i="5"/>
  <c r="AT32" i="5"/>
  <c r="AU32" i="5"/>
  <c r="Y33" i="5"/>
  <c r="AT33" i="5"/>
  <c r="AU33" i="5"/>
  <c r="Y34" i="5"/>
  <c r="AU34" i="5" s="1"/>
  <c r="AT34" i="5"/>
  <c r="Y35" i="5"/>
  <c r="AT35" i="5"/>
  <c r="AU35" i="5" s="1"/>
  <c r="Y36" i="5"/>
  <c r="AT36" i="5"/>
  <c r="AU36" i="5"/>
  <c r="Y37" i="5"/>
  <c r="AT37" i="5"/>
  <c r="AU37" i="5"/>
  <c r="Y38" i="5"/>
  <c r="AU38" i="5" s="1"/>
  <c r="AT38" i="5"/>
  <c r="Y39" i="5"/>
  <c r="AT39" i="5"/>
  <c r="AU39" i="5" s="1"/>
  <c r="Y40" i="5"/>
  <c r="AT40" i="5"/>
  <c r="AU40" i="5"/>
  <c r="Y41" i="5"/>
  <c r="AT41" i="5"/>
  <c r="AU41" i="5"/>
  <c r="Y42" i="5"/>
  <c r="AU42" i="5" s="1"/>
  <c r="AT42" i="5"/>
  <c r="Y43" i="5"/>
  <c r="AT43" i="5"/>
  <c r="AU43" i="5" s="1"/>
  <c r="Y44" i="5"/>
  <c r="AT44" i="5"/>
  <c r="AU44" i="5"/>
  <c r="Y45" i="5"/>
  <c r="AT45" i="5"/>
  <c r="AU45" i="5"/>
  <c r="Y46" i="5"/>
  <c r="AU46" i="5" s="1"/>
  <c r="AT46" i="5"/>
  <c r="Y47" i="5"/>
  <c r="AT47" i="5"/>
  <c r="AU47" i="5" s="1"/>
  <c r="Y48" i="5"/>
  <c r="AT48" i="5"/>
  <c r="AU48" i="5"/>
  <c r="Y49" i="5"/>
  <c r="AT49" i="5"/>
  <c r="AU49" i="5"/>
  <c r="Y50" i="5"/>
  <c r="AU50" i="5" s="1"/>
  <c r="AT50" i="5"/>
  <c r="Y51" i="5"/>
  <c r="AT51" i="5"/>
  <c r="AU51" i="5" s="1"/>
  <c r="Y52" i="5"/>
  <c r="AT52" i="5"/>
  <c r="AU52" i="5"/>
  <c r="Y53" i="5"/>
  <c r="AT53" i="5"/>
  <c r="AU53" i="5"/>
  <c r="Y54" i="5"/>
  <c r="AU54" i="5" s="1"/>
  <c r="AT54" i="5"/>
  <c r="Y55" i="5"/>
  <c r="AT55" i="5"/>
  <c r="AU55" i="5" s="1"/>
  <c r="Y56" i="5"/>
  <c r="AT56" i="5"/>
  <c r="AU56" i="5"/>
  <c r="Y57" i="5"/>
  <c r="AT57" i="5"/>
  <c r="AU57" i="5"/>
  <c r="Y58" i="5"/>
  <c r="AU58" i="5" s="1"/>
  <c r="AT58" i="5"/>
  <c r="Y59" i="5"/>
  <c r="AT59" i="5"/>
  <c r="AU59" i="5" s="1"/>
  <c r="Y60" i="5"/>
  <c r="AT60" i="5"/>
  <c r="AU60" i="5"/>
  <c r="Y61" i="5"/>
  <c r="AT61" i="5"/>
  <c r="AU61" i="5"/>
  <c r="Y62" i="5"/>
  <c r="AU62" i="5" s="1"/>
  <c r="AT62" i="5"/>
  <c r="Y63" i="5"/>
  <c r="AT63" i="5"/>
  <c r="AU63" i="5" s="1"/>
  <c r="Y64" i="5"/>
  <c r="AT64" i="5"/>
  <c r="AU64" i="5"/>
  <c r="Y65" i="5"/>
  <c r="AT65" i="5"/>
  <c r="AU65" i="5"/>
  <c r="Y66" i="5"/>
  <c r="AU66" i="5" s="1"/>
  <c r="AT66" i="5"/>
  <c r="Y67" i="5"/>
  <c r="AT67" i="5"/>
  <c r="AU67" i="5" s="1"/>
  <c r="Y68" i="5"/>
  <c r="AT68" i="5"/>
  <c r="AU68" i="5"/>
  <c r="Y69" i="5"/>
  <c r="AT69" i="5"/>
  <c r="AU69" i="5"/>
  <c r="Y70" i="5"/>
  <c r="AU70" i="5" s="1"/>
  <c r="AT70" i="5"/>
  <c r="Y71" i="5"/>
  <c r="AT71" i="5"/>
  <c r="AU71" i="5" s="1"/>
  <c r="Y72" i="5"/>
  <c r="AT72" i="5"/>
  <c r="AU72" i="5"/>
  <c r="Y73" i="5"/>
  <c r="AT73" i="5"/>
  <c r="AU73" i="5"/>
  <c r="Y74" i="5"/>
  <c r="AU74" i="5" s="1"/>
  <c r="AT74" i="5"/>
  <c r="Y75" i="5"/>
  <c r="AT75" i="5"/>
  <c r="AU75" i="5" s="1"/>
  <c r="Y76" i="5"/>
  <c r="AT76" i="5"/>
  <c r="AU76" i="5"/>
  <c r="Y77" i="5"/>
  <c r="AT77" i="5"/>
  <c r="AU77" i="5"/>
  <c r="Y78" i="5"/>
  <c r="AU78" i="5" s="1"/>
  <c r="AT78" i="5"/>
  <c r="Y79" i="5"/>
  <c r="AT79" i="5"/>
  <c r="AU79" i="5" s="1"/>
  <c r="Y80" i="5"/>
  <c r="AT80" i="5"/>
  <c r="AU80" i="5"/>
  <c r="Y81" i="5"/>
  <c r="AT81" i="5"/>
  <c r="AU81" i="5"/>
  <c r="Y82" i="5"/>
  <c r="AU82" i="5" s="1"/>
  <c r="AT82" i="5"/>
  <c r="Y83" i="5"/>
  <c r="AT83" i="5"/>
  <c r="AU83" i="5" s="1"/>
  <c r="Y84" i="5"/>
  <c r="AT84" i="5"/>
  <c r="AU84" i="5"/>
  <c r="Y85" i="5"/>
  <c r="AT85" i="5"/>
  <c r="AU85" i="5"/>
  <c r="Y86" i="5"/>
  <c r="AU86" i="5" s="1"/>
  <c r="AT86" i="5"/>
  <c r="Y87" i="5"/>
  <c r="AT87" i="5"/>
  <c r="AU87" i="5" s="1"/>
  <c r="Y88" i="5"/>
  <c r="AT88" i="5"/>
  <c r="AU88" i="5"/>
  <c r="Y89" i="5"/>
  <c r="AT89" i="5"/>
  <c r="AU89" i="5"/>
  <c r="Y90" i="5"/>
  <c r="AU90" i="5" s="1"/>
  <c r="AT90" i="5"/>
  <c r="Y91" i="5"/>
  <c r="AT91" i="5"/>
  <c r="AU91" i="5" s="1"/>
  <c r="Y92" i="5"/>
  <c r="AT92" i="5"/>
  <c r="AU92" i="5"/>
  <c r="Y93" i="5"/>
  <c r="AT93" i="5"/>
  <c r="AU93" i="5"/>
  <c r="Y94" i="5"/>
  <c r="AU94" i="5" s="1"/>
  <c r="AT94" i="5"/>
  <c r="Y95" i="5"/>
  <c r="AT95" i="5"/>
  <c r="AU95" i="5" s="1"/>
  <c r="Y96" i="5"/>
  <c r="AT96" i="5"/>
  <c r="AU96" i="5"/>
  <c r="Y97" i="5"/>
  <c r="AT97" i="5"/>
  <c r="AU97" i="5"/>
  <c r="Y98" i="5"/>
  <c r="AU98" i="5" s="1"/>
  <c r="AT98" i="5"/>
  <c r="Y99" i="5"/>
  <c r="AT99" i="5"/>
  <c r="AU99" i="5" s="1"/>
  <c r="Y100" i="5"/>
  <c r="AT100" i="5"/>
  <c r="AU100" i="5"/>
  <c r="Y101" i="5"/>
  <c r="AT101" i="5"/>
  <c r="AU101" i="5"/>
  <c r="Y102" i="5"/>
  <c r="AU102" i="5" s="1"/>
  <c r="AT102" i="5"/>
  <c r="Y103" i="5"/>
  <c r="AT103" i="5"/>
  <c r="AU103" i="5" s="1"/>
  <c r="Y104" i="5"/>
  <c r="AT104" i="5"/>
  <c r="AU104" i="5"/>
  <c r="Y105" i="5"/>
  <c r="AT105" i="5"/>
  <c r="AU105" i="5"/>
  <c r="Y106" i="5"/>
  <c r="AU106" i="5" s="1"/>
  <c r="AT106" i="5"/>
  <c r="Y107" i="5"/>
  <c r="AT107" i="5"/>
  <c r="AU107" i="5" s="1"/>
  <c r="Y108" i="5"/>
  <c r="AT108" i="5"/>
  <c r="AU108" i="5"/>
  <c r="Y109" i="5"/>
  <c r="AT109" i="5"/>
  <c r="AU109" i="5"/>
  <c r="Y110" i="5"/>
  <c r="AU110" i="5" s="1"/>
  <c r="AT110" i="5"/>
  <c r="Y111" i="5"/>
  <c r="AT111" i="5"/>
  <c r="AU111" i="5" s="1"/>
  <c r="Y112" i="5"/>
  <c r="AT112" i="5"/>
  <c r="AU112" i="5"/>
  <c r="Y113" i="5"/>
  <c r="AT113" i="5"/>
  <c r="AU113" i="5"/>
  <c r="Y114" i="5"/>
  <c r="AU114" i="5" s="1"/>
  <c r="AT114" i="5"/>
  <c r="Y115" i="5"/>
  <c r="AT115" i="5"/>
  <c r="AU115" i="5" s="1"/>
  <c r="Y116" i="5"/>
  <c r="AT116" i="5"/>
  <c r="AU116" i="5"/>
  <c r="Y117" i="5"/>
  <c r="AT117" i="5"/>
  <c r="AU117" i="5"/>
  <c r="Y118" i="5"/>
  <c r="AU118" i="5" s="1"/>
  <c r="AT118" i="5"/>
  <c r="Y119" i="5"/>
  <c r="AT119" i="5"/>
  <c r="AU119" i="5" s="1"/>
  <c r="Y120" i="5"/>
  <c r="AT120" i="5"/>
  <c r="AU120" i="5"/>
  <c r="Y121" i="5"/>
  <c r="AT121" i="5"/>
  <c r="AU121" i="5"/>
  <c r="Y122" i="5"/>
  <c r="AU122" i="5" s="1"/>
  <c r="AT122" i="5"/>
  <c r="Y123" i="5"/>
  <c r="AT123" i="5"/>
  <c r="AU123" i="5" s="1"/>
  <c r="Y124" i="5"/>
  <c r="AT124" i="5"/>
  <c r="AU124" i="5"/>
  <c r="Y125" i="5"/>
  <c r="AT125" i="5"/>
  <c r="AU125" i="5"/>
  <c r="Y126" i="5"/>
  <c r="AU126" i="5" s="1"/>
  <c r="AT126" i="5"/>
  <c r="Y127" i="5"/>
  <c r="AT127" i="5"/>
  <c r="AU127" i="5" s="1"/>
  <c r="Y128" i="5"/>
  <c r="AT128" i="5"/>
  <c r="AU128" i="5"/>
  <c r="Y129" i="5"/>
  <c r="AT129" i="5"/>
  <c r="AU129" i="5"/>
  <c r="K130" i="5"/>
  <c r="L130" i="5"/>
  <c r="M130" i="5"/>
  <c r="N130" i="5"/>
  <c r="O130" i="5"/>
  <c r="P130" i="5"/>
  <c r="Q130" i="5"/>
  <c r="R130" i="5"/>
  <c r="S130" i="5"/>
  <c r="T130" i="5"/>
  <c r="U130" i="5"/>
  <c r="V130" i="5"/>
  <c r="W130" i="5"/>
  <c r="X130" i="5"/>
  <c r="Z130" i="5"/>
  <c r="AD130" i="5"/>
  <c r="AH130" i="5"/>
  <c r="AL130" i="5"/>
  <c r="AP130" i="5"/>
  <c r="AU130" i="5" l="1"/>
  <c r="AT130" i="5"/>
  <c r="Y130" i="5"/>
  <c r="E13" i="5" s="1"/>
  <c r="Z124" i="4"/>
  <c r="AA124" i="4"/>
  <c r="AD124" i="4"/>
  <c r="AH124" i="4"/>
  <c r="AL124" i="4"/>
  <c r="AP124" i="4"/>
  <c r="J16" i="4"/>
  <c r="K16" i="4"/>
  <c r="L16" i="4"/>
  <c r="Y16" i="4"/>
  <c r="AU16" i="4" s="1"/>
  <c r="Z16" i="4"/>
  <c r="AT16" i="4"/>
  <c r="J17" i="4"/>
  <c r="K17" i="4"/>
  <c r="L17" i="4"/>
  <c r="Y17" i="4"/>
  <c r="Z17" i="4"/>
  <c r="AT17" i="4" s="1"/>
  <c r="J18" i="4"/>
  <c r="K18" i="4"/>
  <c r="L18" i="4"/>
  <c r="O18" i="4"/>
  <c r="Y18" i="4"/>
  <c r="Z18" i="4"/>
  <c r="AT18" i="4" s="1"/>
  <c r="AU18" i="4" s="1"/>
  <c r="J19" i="4"/>
  <c r="K19" i="4"/>
  <c r="L19" i="4"/>
  <c r="Y19" i="4"/>
  <c r="Z19" i="4"/>
  <c r="AT19" i="4" s="1"/>
  <c r="J20" i="4"/>
  <c r="K20" i="4"/>
  <c r="L20" i="4"/>
  <c r="Y20" i="4"/>
  <c r="Z20" i="4"/>
  <c r="AT20" i="4"/>
  <c r="J21" i="4"/>
  <c r="K21" i="4"/>
  <c r="L21" i="4"/>
  <c r="Y21" i="4"/>
  <c r="Z21" i="4"/>
  <c r="AD21" i="4"/>
  <c r="AT21" i="4"/>
  <c r="J22" i="4"/>
  <c r="K22" i="4"/>
  <c r="L22" i="4"/>
  <c r="Y22" i="4"/>
  <c r="Z22" i="4"/>
  <c r="AT22" i="4"/>
  <c r="K23" i="4"/>
  <c r="L23" i="4"/>
  <c r="Y23" i="4"/>
  <c r="Z23" i="4"/>
  <c r="AT23" i="4" s="1"/>
  <c r="AU23" i="4" s="1"/>
  <c r="J24" i="4"/>
  <c r="K24" i="4"/>
  <c r="L24" i="4"/>
  <c r="Y24" i="4"/>
  <c r="Z24" i="4"/>
  <c r="AT24" i="4"/>
  <c r="J25" i="4"/>
  <c r="K25" i="4"/>
  <c r="L25" i="4"/>
  <c r="Y25" i="4"/>
  <c r="Z25" i="4"/>
  <c r="AT25" i="4"/>
  <c r="AU25" i="4" s="1"/>
  <c r="J26" i="4"/>
  <c r="K26" i="4"/>
  <c r="L26" i="4"/>
  <c r="O26" i="4"/>
  <c r="Y26" i="4" s="1"/>
  <c r="Z26" i="4"/>
  <c r="AT26" i="4"/>
  <c r="J27" i="4"/>
  <c r="K27" i="4"/>
  <c r="L27" i="4"/>
  <c r="M27" i="4"/>
  <c r="M124" i="4" s="1"/>
  <c r="O27" i="4"/>
  <c r="Z27" i="4"/>
  <c r="AT27" i="4"/>
  <c r="J28" i="4"/>
  <c r="K28" i="4"/>
  <c r="L28" i="4"/>
  <c r="M28" i="4"/>
  <c r="N28" i="4"/>
  <c r="O28" i="4"/>
  <c r="Y28" i="4"/>
  <c r="Z28" i="4"/>
  <c r="AT28" i="4" s="1"/>
  <c r="J29" i="4"/>
  <c r="K29" i="4"/>
  <c r="L29" i="4"/>
  <c r="M29" i="4"/>
  <c r="Y29" i="4" s="1"/>
  <c r="N29" i="4"/>
  <c r="N124" i="4" s="1"/>
  <c r="O29" i="4"/>
  <c r="Z29" i="4"/>
  <c r="AT29" i="4"/>
  <c r="AU29" i="4" s="1"/>
  <c r="J30" i="4"/>
  <c r="K30" i="4"/>
  <c r="L30" i="4"/>
  <c r="M30" i="4"/>
  <c r="N30" i="4"/>
  <c r="O30" i="4"/>
  <c r="Y30" i="4"/>
  <c r="Z30" i="4"/>
  <c r="AT30" i="4" s="1"/>
  <c r="J31" i="4"/>
  <c r="K31" i="4"/>
  <c r="L31" i="4"/>
  <c r="M31" i="4"/>
  <c r="Y31" i="4" s="1"/>
  <c r="N31" i="4"/>
  <c r="O31" i="4"/>
  <c r="Z31" i="4"/>
  <c r="AT31" i="4"/>
  <c r="AU31" i="4" s="1"/>
  <c r="J32" i="4"/>
  <c r="K32" i="4"/>
  <c r="L32" i="4"/>
  <c r="M32" i="4"/>
  <c r="N32" i="4"/>
  <c r="O32" i="4"/>
  <c r="Y32" i="4"/>
  <c r="Z32" i="4"/>
  <c r="AT32" i="4" s="1"/>
  <c r="J33" i="4"/>
  <c r="K33" i="4"/>
  <c r="L33" i="4"/>
  <c r="M33" i="4"/>
  <c r="Y33" i="4" s="1"/>
  <c r="N33" i="4"/>
  <c r="O33" i="4"/>
  <c r="Z33" i="4"/>
  <c r="AT33" i="4"/>
  <c r="AU33" i="4" s="1"/>
  <c r="J34" i="4"/>
  <c r="K34" i="4"/>
  <c r="L34" i="4"/>
  <c r="M34" i="4"/>
  <c r="N34" i="4"/>
  <c r="O34" i="4"/>
  <c r="Y34" i="4"/>
  <c r="Z34" i="4"/>
  <c r="AT34" i="4" s="1"/>
  <c r="J35" i="4"/>
  <c r="K35" i="4"/>
  <c r="L35" i="4"/>
  <c r="M35" i="4"/>
  <c r="Y35" i="4" s="1"/>
  <c r="N35" i="4"/>
  <c r="O35" i="4"/>
  <c r="Z35" i="4"/>
  <c r="AT35" i="4"/>
  <c r="AU35" i="4" s="1"/>
  <c r="J36" i="4"/>
  <c r="K36" i="4"/>
  <c r="L36" i="4"/>
  <c r="M36" i="4"/>
  <c r="N36" i="4"/>
  <c r="O36" i="4"/>
  <c r="Y36" i="4"/>
  <c r="Z36" i="4"/>
  <c r="AT36" i="4" s="1"/>
  <c r="J37" i="4"/>
  <c r="K37" i="4"/>
  <c r="L37" i="4"/>
  <c r="M37" i="4"/>
  <c r="Y37" i="4" s="1"/>
  <c r="N37" i="4"/>
  <c r="O37" i="4"/>
  <c r="Z37" i="4"/>
  <c r="AT37" i="4"/>
  <c r="AU37" i="4" s="1"/>
  <c r="J38" i="4"/>
  <c r="K38" i="4"/>
  <c r="L38" i="4"/>
  <c r="M38" i="4"/>
  <c r="N38" i="4"/>
  <c r="O38" i="4"/>
  <c r="Y38" i="4"/>
  <c r="Z38" i="4"/>
  <c r="AT38" i="4" s="1"/>
  <c r="J39" i="4"/>
  <c r="K39" i="4"/>
  <c r="L39" i="4"/>
  <c r="M39" i="4"/>
  <c r="Y39" i="4" s="1"/>
  <c r="N39" i="4"/>
  <c r="O39" i="4"/>
  <c r="Z39" i="4"/>
  <c r="AT39" i="4"/>
  <c r="AU39" i="4" s="1"/>
  <c r="J40" i="4"/>
  <c r="K40" i="4"/>
  <c r="L40" i="4"/>
  <c r="M40" i="4"/>
  <c r="N40" i="4"/>
  <c r="O40" i="4"/>
  <c r="Y40" i="4"/>
  <c r="Z40" i="4"/>
  <c r="AT40" i="4" s="1"/>
  <c r="J41" i="4"/>
  <c r="K41" i="4"/>
  <c r="L41" i="4"/>
  <c r="M41" i="4"/>
  <c r="Y41" i="4" s="1"/>
  <c r="N41" i="4"/>
  <c r="O41" i="4"/>
  <c r="Z41" i="4"/>
  <c r="AT41" i="4"/>
  <c r="AU41" i="4" s="1"/>
  <c r="J42" i="4"/>
  <c r="K42" i="4"/>
  <c r="L42" i="4"/>
  <c r="M42" i="4"/>
  <c r="N42" i="4"/>
  <c r="O42" i="4"/>
  <c r="Y42" i="4"/>
  <c r="Z42" i="4"/>
  <c r="AT42" i="4" s="1"/>
  <c r="J43" i="4"/>
  <c r="K43" i="4"/>
  <c r="L43" i="4"/>
  <c r="M43" i="4"/>
  <c r="Y43" i="4" s="1"/>
  <c r="N43" i="4"/>
  <c r="O43" i="4"/>
  <c r="Z43" i="4"/>
  <c r="AT43" i="4"/>
  <c r="AU43" i="4" s="1"/>
  <c r="J44" i="4"/>
  <c r="K44" i="4"/>
  <c r="L44" i="4"/>
  <c r="M44" i="4"/>
  <c r="N44" i="4"/>
  <c r="O44" i="4"/>
  <c r="Y44" i="4"/>
  <c r="Z44" i="4"/>
  <c r="AT44" i="4" s="1"/>
  <c r="J45" i="4"/>
  <c r="K45" i="4"/>
  <c r="L45" i="4"/>
  <c r="M45" i="4"/>
  <c r="Y45" i="4" s="1"/>
  <c r="N45" i="4"/>
  <c r="O45" i="4"/>
  <c r="Z45" i="4"/>
  <c r="AT45" i="4"/>
  <c r="AU45" i="4" s="1"/>
  <c r="J46" i="4"/>
  <c r="K46" i="4"/>
  <c r="L46" i="4"/>
  <c r="M46" i="4"/>
  <c r="N46" i="4"/>
  <c r="O46" i="4"/>
  <c r="Y46" i="4"/>
  <c r="Z46" i="4"/>
  <c r="AT46" i="4" s="1"/>
  <c r="J47" i="4"/>
  <c r="K47" i="4"/>
  <c r="L47" i="4"/>
  <c r="M47" i="4"/>
  <c r="Y47" i="4" s="1"/>
  <c r="N47" i="4"/>
  <c r="O47" i="4"/>
  <c r="Z47" i="4"/>
  <c r="AT47" i="4"/>
  <c r="AU47" i="4" s="1"/>
  <c r="J48" i="4"/>
  <c r="K48" i="4"/>
  <c r="L48" i="4"/>
  <c r="M48" i="4"/>
  <c r="N48" i="4"/>
  <c r="O48" i="4"/>
  <c r="Y48" i="4"/>
  <c r="Z48" i="4"/>
  <c r="AT48" i="4" s="1"/>
  <c r="J49" i="4"/>
  <c r="K49" i="4"/>
  <c r="L49" i="4"/>
  <c r="M49" i="4"/>
  <c r="Y49" i="4" s="1"/>
  <c r="N49" i="4"/>
  <c r="O49" i="4"/>
  <c r="Z49" i="4"/>
  <c r="AT49" i="4"/>
  <c r="AU49" i="4" s="1"/>
  <c r="J50" i="4"/>
  <c r="K50" i="4"/>
  <c r="L50" i="4"/>
  <c r="M50" i="4"/>
  <c r="N50" i="4"/>
  <c r="O50" i="4"/>
  <c r="Y50" i="4"/>
  <c r="Z50" i="4"/>
  <c r="AT50" i="4" s="1"/>
  <c r="AD50" i="4"/>
  <c r="J51" i="4"/>
  <c r="K51" i="4"/>
  <c r="L51" i="4"/>
  <c r="M51" i="4"/>
  <c r="Y51" i="4" s="1"/>
  <c r="N51" i="4"/>
  <c r="O51" i="4"/>
  <c r="Z51" i="4"/>
  <c r="AT51" i="4" s="1"/>
  <c r="J52" i="4"/>
  <c r="K52" i="4"/>
  <c r="L52" i="4"/>
  <c r="M52" i="4"/>
  <c r="N52" i="4"/>
  <c r="O52" i="4"/>
  <c r="Y52" i="4" s="1"/>
  <c r="AU52" i="4" s="1"/>
  <c r="Z52" i="4"/>
  <c r="AT52" i="4"/>
  <c r="J53" i="4"/>
  <c r="K53" i="4"/>
  <c r="L53" i="4"/>
  <c r="M53" i="4"/>
  <c r="Y53" i="4" s="1"/>
  <c r="N53" i="4"/>
  <c r="O53" i="4"/>
  <c r="Z53" i="4"/>
  <c r="AT53" i="4" s="1"/>
  <c r="J54" i="4"/>
  <c r="K54" i="4"/>
  <c r="L54" i="4"/>
  <c r="M54" i="4"/>
  <c r="N54" i="4"/>
  <c r="O54" i="4"/>
  <c r="Y54" i="4" s="1"/>
  <c r="Z54" i="4"/>
  <c r="AT54" i="4"/>
  <c r="J55" i="4"/>
  <c r="K55" i="4"/>
  <c r="L55" i="4"/>
  <c r="M55" i="4"/>
  <c r="Y55" i="4" s="1"/>
  <c r="N55" i="4"/>
  <c r="O55" i="4"/>
  <c r="Z55" i="4"/>
  <c r="AT55" i="4" s="1"/>
  <c r="J56" i="4"/>
  <c r="K56" i="4"/>
  <c r="L56" i="4"/>
  <c r="M56" i="4"/>
  <c r="N56" i="4"/>
  <c r="O56" i="4"/>
  <c r="Y56" i="4" s="1"/>
  <c r="Z56" i="4"/>
  <c r="AT56" i="4"/>
  <c r="J57" i="4"/>
  <c r="K57" i="4"/>
  <c r="L57" i="4"/>
  <c r="M57" i="4"/>
  <c r="Y57" i="4" s="1"/>
  <c r="N57" i="4"/>
  <c r="O57" i="4"/>
  <c r="Z57" i="4"/>
  <c r="AT57" i="4" s="1"/>
  <c r="J58" i="4"/>
  <c r="K58" i="4"/>
  <c r="L58" i="4"/>
  <c r="M58" i="4"/>
  <c r="N58" i="4"/>
  <c r="O58" i="4"/>
  <c r="Y58" i="4" s="1"/>
  <c r="Z58" i="4"/>
  <c r="AT58" i="4"/>
  <c r="J59" i="4"/>
  <c r="K59" i="4"/>
  <c r="L59" i="4"/>
  <c r="M59" i="4"/>
  <c r="Y59" i="4" s="1"/>
  <c r="N59" i="4"/>
  <c r="O59" i="4"/>
  <c r="Z59" i="4"/>
  <c r="AT59" i="4" s="1"/>
  <c r="J60" i="4"/>
  <c r="K60" i="4"/>
  <c r="L60" i="4"/>
  <c r="M60" i="4"/>
  <c r="N60" i="4"/>
  <c r="O60" i="4"/>
  <c r="Y60" i="4" s="1"/>
  <c r="AU60" i="4" s="1"/>
  <c r="Z60" i="4"/>
  <c r="AT60" i="4"/>
  <c r="J61" i="4"/>
  <c r="K61" i="4"/>
  <c r="L61" i="4"/>
  <c r="M61" i="4"/>
  <c r="Y61" i="4" s="1"/>
  <c r="N61" i="4"/>
  <c r="O61" i="4"/>
  <c r="Z61" i="4"/>
  <c r="AT61" i="4" s="1"/>
  <c r="J62" i="4"/>
  <c r="K62" i="4"/>
  <c r="L62" i="4"/>
  <c r="M62" i="4"/>
  <c r="N62" i="4"/>
  <c r="O62" i="4"/>
  <c r="Y62" i="4" s="1"/>
  <c r="Z62" i="4"/>
  <c r="AT62" i="4"/>
  <c r="J63" i="4"/>
  <c r="K63" i="4"/>
  <c r="L63" i="4"/>
  <c r="M63" i="4"/>
  <c r="Y63" i="4" s="1"/>
  <c r="N63" i="4"/>
  <c r="O63" i="4"/>
  <c r="Z63" i="4"/>
  <c r="AT63" i="4" s="1"/>
  <c r="J64" i="4"/>
  <c r="K64" i="4"/>
  <c r="L64" i="4"/>
  <c r="M64" i="4"/>
  <c r="N64" i="4"/>
  <c r="O64" i="4"/>
  <c r="Y64" i="4" s="1"/>
  <c r="Z64" i="4"/>
  <c r="AT64" i="4"/>
  <c r="J65" i="4"/>
  <c r="K65" i="4"/>
  <c r="L65" i="4"/>
  <c r="M65" i="4"/>
  <c r="Y65" i="4" s="1"/>
  <c r="N65" i="4"/>
  <c r="O65" i="4"/>
  <c r="Z65" i="4"/>
  <c r="AT65" i="4" s="1"/>
  <c r="J66" i="4"/>
  <c r="K66" i="4"/>
  <c r="L66" i="4"/>
  <c r="M66" i="4"/>
  <c r="N66" i="4"/>
  <c r="O66" i="4"/>
  <c r="Y66" i="4" s="1"/>
  <c r="Z66" i="4"/>
  <c r="AT66" i="4"/>
  <c r="J67" i="4"/>
  <c r="K67" i="4"/>
  <c r="L67" i="4"/>
  <c r="M67" i="4"/>
  <c r="Y67" i="4" s="1"/>
  <c r="N67" i="4"/>
  <c r="O67" i="4"/>
  <c r="Z67" i="4"/>
  <c r="AT67" i="4" s="1"/>
  <c r="J68" i="4"/>
  <c r="K68" i="4"/>
  <c r="L68" i="4"/>
  <c r="M68" i="4"/>
  <c r="N68" i="4"/>
  <c r="O68" i="4"/>
  <c r="Y68" i="4" s="1"/>
  <c r="Z68" i="4"/>
  <c r="AD68" i="4"/>
  <c r="AT68" i="4"/>
  <c r="J69" i="4"/>
  <c r="K69" i="4"/>
  <c r="L69" i="4"/>
  <c r="M69" i="4"/>
  <c r="N69" i="4"/>
  <c r="O69" i="4"/>
  <c r="Y69" i="4"/>
  <c r="Z69" i="4"/>
  <c r="AT69" i="4" s="1"/>
  <c r="AU69" i="4" s="1"/>
  <c r="J70" i="4"/>
  <c r="K70" i="4"/>
  <c r="L70" i="4"/>
  <c r="M70" i="4"/>
  <c r="Y70" i="4" s="1"/>
  <c r="N70" i="4"/>
  <c r="O70" i="4"/>
  <c r="Z70" i="4"/>
  <c r="AT70" i="4"/>
  <c r="AU70" i="4" s="1"/>
  <c r="J71" i="4"/>
  <c r="K71" i="4"/>
  <c r="L71" i="4"/>
  <c r="M71" i="4"/>
  <c r="N71" i="4"/>
  <c r="O71" i="4"/>
  <c r="Y71" i="4"/>
  <c r="Z71" i="4"/>
  <c r="AT71" i="4" s="1"/>
  <c r="AU71" i="4" s="1"/>
  <c r="J72" i="4"/>
  <c r="K72" i="4"/>
  <c r="L72" i="4"/>
  <c r="M72" i="4"/>
  <c r="Y72" i="4" s="1"/>
  <c r="N72" i="4"/>
  <c r="O72" i="4"/>
  <c r="Z72" i="4"/>
  <c r="AT72" i="4"/>
  <c r="AU72" i="4" s="1"/>
  <c r="J73" i="4"/>
  <c r="K73" i="4"/>
  <c r="L73" i="4"/>
  <c r="M73" i="4"/>
  <c r="N73" i="4"/>
  <c r="O73" i="4"/>
  <c r="Y73" i="4"/>
  <c r="Z73" i="4"/>
  <c r="AT73" i="4" s="1"/>
  <c r="AU73" i="4" s="1"/>
  <c r="J74" i="4"/>
  <c r="K74" i="4"/>
  <c r="L74" i="4"/>
  <c r="M74" i="4"/>
  <c r="Y74" i="4" s="1"/>
  <c r="N74" i="4"/>
  <c r="O74" i="4"/>
  <c r="Z74" i="4"/>
  <c r="AT74" i="4"/>
  <c r="AU74" i="4" s="1"/>
  <c r="J75" i="4"/>
  <c r="K75" i="4"/>
  <c r="M75" i="4"/>
  <c r="Y75" i="4" s="1"/>
  <c r="N75" i="4"/>
  <c r="O75" i="4"/>
  <c r="Z75" i="4"/>
  <c r="AT75" i="4" s="1"/>
  <c r="J76" i="4"/>
  <c r="K76" i="4"/>
  <c r="L76" i="4"/>
  <c r="M76" i="4"/>
  <c r="N76" i="4"/>
  <c r="O76" i="4"/>
  <c r="Y76" i="4" s="1"/>
  <c r="Z76" i="4"/>
  <c r="AT76" i="4"/>
  <c r="J77" i="4"/>
  <c r="K77" i="4"/>
  <c r="L77" i="4"/>
  <c r="M77" i="4"/>
  <c r="Y77" i="4" s="1"/>
  <c r="N77" i="4"/>
  <c r="O77" i="4"/>
  <c r="Z77" i="4"/>
  <c r="AT77" i="4" s="1"/>
  <c r="J78" i="4"/>
  <c r="K78" i="4"/>
  <c r="L78" i="4"/>
  <c r="M78" i="4"/>
  <c r="N78" i="4"/>
  <c r="O78" i="4"/>
  <c r="Y78" i="4" s="1"/>
  <c r="AT78" i="4"/>
  <c r="J79" i="4"/>
  <c r="K79" i="4"/>
  <c r="L79" i="4"/>
  <c r="M79" i="4"/>
  <c r="Y79" i="4" s="1"/>
  <c r="N79" i="4"/>
  <c r="O79" i="4"/>
  <c r="Z79" i="4"/>
  <c r="AT79" i="4"/>
  <c r="AU79" i="4" s="1"/>
  <c r="J80" i="4"/>
  <c r="K80" i="4"/>
  <c r="L80" i="4"/>
  <c r="M80" i="4"/>
  <c r="N80" i="4"/>
  <c r="O80" i="4"/>
  <c r="Y80" i="4"/>
  <c r="Z80" i="4"/>
  <c r="AT80" i="4" s="1"/>
  <c r="AU80" i="4" s="1"/>
  <c r="J81" i="4"/>
  <c r="K81" i="4"/>
  <c r="L81" i="4"/>
  <c r="M81" i="4"/>
  <c r="Y81" i="4" s="1"/>
  <c r="N81" i="4"/>
  <c r="O81" i="4"/>
  <c r="Z81" i="4"/>
  <c r="AT81" i="4"/>
  <c r="AU81" i="4" s="1"/>
  <c r="J82" i="4"/>
  <c r="K82" i="4"/>
  <c r="L82" i="4"/>
  <c r="M82" i="4"/>
  <c r="N82" i="4"/>
  <c r="O82" i="4"/>
  <c r="Y82" i="4"/>
  <c r="Z82" i="4"/>
  <c r="AT82" i="4" s="1"/>
  <c r="AU82" i="4" s="1"/>
  <c r="J83" i="4"/>
  <c r="K83" i="4"/>
  <c r="L83" i="4"/>
  <c r="M83" i="4"/>
  <c r="Y83" i="4" s="1"/>
  <c r="N83" i="4"/>
  <c r="O83" i="4"/>
  <c r="Z83" i="4"/>
  <c r="AT83" i="4"/>
  <c r="AU83" i="4" s="1"/>
  <c r="J84" i="4"/>
  <c r="K84" i="4"/>
  <c r="L84" i="4"/>
  <c r="M84" i="4"/>
  <c r="N84" i="4"/>
  <c r="O84" i="4"/>
  <c r="Y84" i="4"/>
  <c r="Z84" i="4"/>
  <c r="AT84" i="4" s="1"/>
  <c r="AU84" i="4" s="1"/>
  <c r="K85" i="4"/>
  <c r="L85" i="4"/>
  <c r="N85" i="4"/>
  <c r="Y85" i="4"/>
  <c r="Z85" i="4"/>
  <c r="AT85" i="4" s="1"/>
  <c r="AU85" i="4" s="1"/>
  <c r="K86" i="4"/>
  <c r="L86" i="4"/>
  <c r="O86" i="4"/>
  <c r="Y86" i="4" s="1"/>
  <c r="Z86" i="4"/>
  <c r="AT86" i="4"/>
  <c r="J87" i="4"/>
  <c r="K87" i="4"/>
  <c r="L87" i="4"/>
  <c r="N87" i="4"/>
  <c r="Y87" i="4" s="1"/>
  <c r="O87" i="4"/>
  <c r="Z87" i="4"/>
  <c r="AT87" i="4" s="1"/>
  <c r="J88" i="4"/>
  <c r="K88" i="4"/>
  <c r="L88" i="4"/>
  <c r="O88" i="4"/>
  <c r="Y88" i="4"/>
  <c r="Z88" i="4"/>
  <c r="AT88" i="4" s="1"/>
  <c r="J89" i="4"/>
  <c r="K89" i="4"/>
  <c r="L89" i="4"/>
  <c r="O89" i="4"/>
  <c r="Y89" i="4"/>
  <c r="Z89" i="4"/>
  <c r="AT89" i="4" s="1"/>
  <c r="AU89" i="4" s="1"/>
  <c r="J90" i="4"/>
  <c r="K90" i="4"/>
  <c r="L90" i="4"/>
  <c r="O90" i="4"/>
  <c r="Y90" i="4"/>
  <c r="Z90" i="4"/>
  <c r="AT90" i="4" s="1"/>
  <c r="J91" i="4"/>
  <c r="K91" i="4"/>
  <c r="L91" i="4"/>
  <c r="O91" i="4"/>
  <c r="Y91" i="4"/>
  <c r="Z91" i="4"/>
  <c r="AT91" i="4" s="1"/>
  <c r="AU91" i="4" s="1"/>
  <c r="J92" i="4"/>
  <c r="K92" i="4"/>
  <c r="L92" i="4"/>
  <c r="O92" i="4"/>
  <c r="Y92" i="4"/>
  <c r="Z92" i="4"/>
  <c r="AT92" i="4" s="1"/>
  <c r="J93" i="4"/>
  <c r="K93" i="4"/>
  <c r="L93" i="4"/>
  <c r="O93" i="4"/>
  <c r="Y93" i="4"/>
  <c r="Z93" i="4"/>
  <c r="AT93" i="4" s="1"/>
  <c r="AU93" i="4" s="1"/>
  <c r="J94" i="4"/>
  <c r="K94" i="4"/>
  <c r="L94" i="4"/>
  <c r="O94" i="4"/>
  <c r="Y94" i="4"/>
  <c r="Z94" i="4"/>
  <c r="AT94" i="4" s="1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Y123" i="4"/>
  <c r="AT123" i="4"/>
  <c r="AU123" i="4" s="1"/>
  <c r="K124" i="4"/>
  <c r="L124" i="4"/>
  <c r="P124" i="4"/>
  <c r="Q124" i="4"/>
  <c r="R124" i="4"/>
  <c r="S124" i="4"/>
  <c r="T124" i="4"/>
  <c r="U124" i="4"/>
  <c r="V124" i="4"/>
  <c r="W124" i="4"/>
  <c r="X124" i="4"/>
  <c r="AU22" i="4" l="1"/>
  <c r="AU21" i="4"/>
  <c r="AU94" i="4"/>
  <c r="AU92" i="4"/>
  <c r="AU90" i="4"/>
  <c r="AU88" i="4"/>
  <c r="AU86" i="4"/>
  <c r="AU75" i="4"/>
  <c r="AU66" i="4"/>
  <c r="AU61" i="4"/>
  <c r="AU58" i="4"/>
  <c r="AU53" i="4"/>
  <c r="AU19" i="4"/>
  <c r="Y124" i="4"/>
  <c r="Y134" i="4" s="1"/>
  <c r="AT124" i="4"/>
  <c r="AU76" i="4"/>
  <c r="AU62" i="4"/>
  <c r="AU54" i="4"/>
  <c r="AU78" i="4"/>
  <c r="AU64" i="4"/>
  <c r="AU56" i="4"/>
  <c r="AU50" i="4"/>
  <c r="AU48" i="4"/>
  <c r="AU46" i="4"/>
  <c r="AU44" i="4"/>
  <c r="AU42" i="4"/>
  <c r="AU40" i="4"/>
  <c r="AU38" i="4"/>
  <c r="AU36" i="4"/>
  <c r="AU34" i="4"/>
  <c r="AU32" i="4"/>
  <c r="AU30" i="4"/>
  <c r="AU28" i="4"/>
  <c r="AU24" i="4"/>
  <c r="AU20" i="4"/>
  <c r="AU26" i="4"/>
  <c r="AU17" i="4"/>
  <c r="AU77" i="4"/>
  <c r="AU63" i="4"/>
  <c r="AU55" i="4"/>
  <c r="AU87" i="4"/>
  <c r="AU68" i="4"/>
  <c r="AU65" i="4"/>
  <c r="AU57" i="4"/>
  <c r="AU67" i="4"/>
  <c r="AU59" i="4"/>
  <c r="AU51" i="4"/>
  <c r="O124" i="4"/>
  <c r="Y27" i="4"/>
  <c r="Y41" i="3"/>
  <c r="Y42" i="3"/>
  <c r="Y43" i="3"/>
  <c r="Y44" i="3"/>
  <c r="Y45" i="3"/>
  <c r="Y46" i="3"/>
  <c r="Y47" i="3"/>
  <c r="AU47" i="3" s="1"/>
  <c r="Y48" i="3"/>
  <c r="Y49" i="3"/>
  <c r="Y50" i="3"/>
  <c r="Y51" i="3"/>
  <c r="Y52" i="3"/>
  <c r="Y53" i="3"/>
  <c r="Y54" i="3"/>
  <c r="Y55" i="3"/>
  <c r="AU55" i="3" s="1"/>
  <c r="Y56" i="3"/>
  <c r="Y57" i="3"/>
  <c r="Y58" i="3"/>
  <c r="Y59" i="3"/>
  <c r="Y60" i="3"/>
  <c r="Y61" i="3"/>
  <c r="Y62" i="3"/>
  <c r="Y63" i="3"/>
  <c r="AU63" i="3" s="1"/>
  <c r="Y64" i="3"/>
  <c r="Y65" i="3"/>
  <c r="Y66" i="3"/>
  <c r="Y67" i="3"/>
  <c r="Y68" i="3"/>
  <c r="Y69" i="3"/>
  <c r="Y70" i="3"/>
  <c r="Y71" i="3"/>
  <c r="AU71" i="3" s="1"/>
  <c r="Y72" i="3"/>
  <c r="Y73" i="3"/>
  <c r="Y74" i="3"/>
  <c r="Y75" i="3"/>
  <c r="Y76" i="3"/>
  <c r="Y77" i="3"/>
  <c r="Y78" i="3"/>
  <c r="Y79" i="3"/>
  <c r="AU79" i="3" s="1"/>
  <c r="Y80" i="3"/>
  <c r="Y81" i="3"/>
  <c r="Y82" i="3"/>
  <c r="Y83" i="3"/>
  <c r="Y84" i="3"/>
  <c r="Y85" i="3"/>
  <c r="Y86" i="3"/>
  <c r="Y87" i="3"/>
  <c r="AU87" i="3" s="1"/>
  <c r="Y88" i="3"/>
  <c r="Y89" i="3"/>
  <c r="Y90" i="3"/>
  <c r="Y91" i="3"/>
  <c r="Y92" i="3"/>
  <c r="Y93" i="3"/>
  <c r="AK94" i="3"/>
  <c r="AD94" i="3"/>
  <c r="AT42" i="3"/>
  <c r="AT43" i="3"/>
  <c r="AU43" i="3"/>
  <c r="AT44" i="3"/>
  <c r="AU44" i="3" s="1"/>
  <c r="AT45" i="3"/>
  <c r="AU45" i="3"/>
  <c r="AT46" i="3"/>
  <c r="AU46" i="3" s="1"/>
  <c r="AT47" i="3"/>
  <c r="AT48" i="3"/>
  <c r="AT49" i="3"/>
  <c r="AU49" i="3"/>
  <c r="AT50" i="3"/>
  <c r="AT51" i="3"/>
  <c r="AU51" i="3"/>
  <c r="AT52" i="3"/>
  <c r="AU52" i="3" s="1"/>
  <c r="AT53" i="3"/>
  <c r="AU53" i="3"/>
  <c r="AT54" i="3"/>
  <c r="AU54" i="3" s="1"/>
  <c r="AT55" i="3"/>
  <c r="AT56" i="3"/>
  <c r="AT57" i="3"/>
  <c r="AU57" i="3"/>
  <c r="AT58" i="3"/>
  <c r="AT59" i="3"/>
  <c r="AU59" i="3"/>
  <c r="AT60" i="3"/>
  <c r="AU60" i="3" s="1"/>
  <c r="AT61" i="3"/>
  <c r="AU61" i="3"/>
  <c r="AT62" i="3"/>
  <c r="AU62" i="3" s="1"/>
  <c r="AT63" i="3"/>
  <c r="AT64" i="3"/>
  <c r="AT65" i="3"/>
  <c r="AU65" i="3"/>
  <c r="AT66" i="3"/>
  <c r="AT67" i="3"/>
  <c r="AU67" i="3"/>
  <c r="AT68" i="3"/>
  <c r="AU68" i="3" s="1"/>
  <c r="AT69" i="3"/>
  <c r="AU69" i="3"/>
  <c r="AT70" i="3"/>
  <c r="AU70" i="3" s="1"/>
  <c r="AT71" i="3"/>
  <c r="AT72" i="3"/>
  <c r="AT73" i="3"/>
  <c r="AU73" i="3"/>
  <c r="AT74" i="3"/>
  <c r="AT75" i="3"/>
  <c r="AU75" i="3"/>
  <c r="AT76" i="3"/>
  <c r="AU76" i="3" s="1"/>
  <c r="AT77" i="3"/>
  <c r="AU77" i="3"/>
  <c r="AT78" i="3"/>
  <c r="AU78" i="3" s="1"/>
  <c r="AT79" i="3"/>
  <c r="AT80" i="3"/>
  <c r="AT81" i="3"/>
  <c r="AU81" i="3"/>
  <c r="AT82" i="3"/>
  <c r="AT83" i="3"/>
  <c r="AU83" i="3"/>
  <c r="AT84" i="3"/>
  <c r="AU84" i="3" s="1"/>
  <c r="AT85" i="3"/>
  <c r="AU85" i="3"/>
  <c r="AT86" i="3"/>
  <c r="AU86" i="3" s="1"/>
  <c r="AT87" i="3"/>
  <c r="AT88" i="3"/>
  <c r="AT89" i="3"/>
  <c r="AU89" i="3"/>
  <c r="AT90" i="3"/>
  <c r="AT91" i="3"/>
  <c r="AU91" i="3"/>
  <c r="AT92" i="3"/>
  <c r="AU92" i="3" s="1"/>
  <c r="AT93" i="3"/>
  <c r="AU93" i="3"/>
  <c r="E13" i="4" l="1"/>
  <c r="AU27" i="4"/>
  <c r="AU124" i="4" s="1"/>
  <c r="AU88" i="3"/>
  <c r="AU80" i="3"/>
  <c r="AU72" i="3"/>
  <c r="AU64" i="3"/>
  <c r="AU56" i="3"/>
  <c r="AU48" i="3"/>
  <c r="AU90" i="3"/>
  <c r="AU82" i="3"/>
  <c r="AU74" i="3"/>
  <c r="AU66" i="3"/>
  <c r="AU58" i="3"/>
  <c r="AU50" i="3"/>
  <c r="AU42" i="3"/>
  <c r="Y16" i="3"/>
  <c r="AT16" i="3"/>
  <c r="AT94" i="3" s="1"/>
  <c r="AU16" i="3"/>
  <c r="Y17" i="3"/>
  <c r="AT17" i="3"/>
  <c r="AU17" i="3"/>
  <c r="Y18" i="3"/>
  <c r="AT18" i="3"/>
  <c r="Y19" i="3"/>
  <c r="AT19" i="3"/>
  <c r="AU19" i="3" s="1"/>
  <c r="Y20" i="3"/>
  <c r="AU20" i="3" s="1"/>
  <c r="AT20" i="3"/>
  <c r="Y21" i="3"/>
  <c r="AT21" i="3"/>
  <c r="AU21" i="3" s="1"/>
  <c r="Y22" i="3"/>
  <c r="AT22" i="3"/>
  <c r="Y23" i="3"/>
  <c r="AT23" i="3"/>
  <c r="Y24" i="3"/>
  <c r="AT24" i="3"/>
  <c r="AU24" i="3"/>
  <c r="Y25" i="3"/>
  <c r="AT25" i="3"/>
  <c r="AU25" i="3"/>
  <c r="Y26" i="3"/>
  <c r="AU26" i="3" s="1"/>
  <c r="AT26" i="3"/>
  <c r="Y27" i="3"/>
  <c r="AT27" i="3"/>
  <c r="AU27" i="3" s="1"/>
  <c r="Y28" i="3"/>
  <c r="AT28" i="3"/>
  <c r="AU28" i="3" s="1"/>
  <c r="Y29" i="3"/>
  <c r="AT29" i="3"/>
  <c r="AU29" i="3" s="1"/>
  <c r="Y30" i="3"/>
  <c r="AT30" i="3"/>
  <c r="Y31" i="3"/>
  <c r="AT31" i="3"/>
  <c r="Y32" i="3"/>
  <c r="AT32" i="3"/>
  <c r="AU32" i="3"/>
  <c r="Y33" i="3"/>
  <c r="AT33" i="3"/>
  <c r="AU33" i="3"/>
  <c r="Y34" i="3"/>
  <c r="AU34" i="3" s="1"/>
  <c r="AT34" i="3"/>
  <c r="Y35" i="3"/>
  <c r="AT35" i="3"/>
  <c r="AU35" i="3" s="1"/>
  <c r="Y36" i="3"/>
  <c r="AT36" i="3"/>
  <c r="AU36" i="3" s="1"/>
  <c r="Y37" i="3"/>
  <c r="AT37" i="3"/>
  <c r="AU37" i="3" s="1"/>
  <c r="Y38" i="3"/>
  <c r="AT38" i="3"/>
  <c r="Y39" i="3"/>
  <c r="AT39" i="3"/>
  <c r="Y40" i="3"/>
  <c r="AT40" i="3"/>
  <c r="AU40" i="3"/>
  <c r="AT41" i="3"/>
  <c r="AU41" i="3"/>
  <c r="K94" i="3"/>
  <c r="L94" i="3"/>
  <c r="M94" i="3"/>
  <c r="N94" i="3"/>
  <c r="O94" i="3"/>
  <c r="P94" i="3"/>
  <c r="Q94" i="3"/>
  <c r="R94" i="3"/>
  <c r="S94" i="3"/>
  <c r="T94" i="3"/>
  <c r="U94" i="3"/>
  <c r="V94" i="3"/>
  <c r="W94" i="3"/>
  <c r="X94" i="3"/>
  <c r="Z94" i="3"/>
  <c r="AH94" i="3"/>
  <c r="AI94" i="3"/>
  <c r="AJ94" i="3"/>
  <c r="AL94" i="3"/>
  <c r="AM94" i="3"/>
  <c r="AN94" i="3"/>
  <c r="AO94" i="3"/>
  <c r="AP94" i="3"/>
  <c r="AQ94" i="3"/>
  <c r="AR94" i="3"/>
  <c r="AS94" i="3"/>
  <c r="Y94" i="3" l="1"/>
  <c r="E13" i="3" s="1"/>
  <c r="AU39" i="3"/>
  <c r="AU31" i="3"/>
  <c r="AU23" i="3"/>
  <c r="AU38" i="3"/>
  <c r="AU30" i="3"/>
  <c r="AU22" i="3"/>
  <c r="AU18" i="3"/>
  <c r="AU94" i="3" s="1"/>
  <c r="Y122" i="1"/>
  <c r="Y121" i="1"/>
  <c r="Y120" i="1"/>
  <c r="Y119" i="1"/>
  <c r="Y118" i="1"/>
  <c r="Y117" i="1"/>
  <c r="Y116" i="1"/>
  <c r="Y115" i="1"/>
  <c r="Y114" i="1"/>
  <c r="Y113" i="1"/>
  <c r="Y112" i="1"/>
  <c r="Y111" i="1"/>
  <c r="Y108" i="1"/>
  <c r="Y107" i="1"/>
  <c r="Y106" i="1"/>
  <c r="Y105" i="1"/>
  <c r="Y104" i="1"/>
  <c r="Y103" i="1"/>
  <c r="Y102" i="1"/>
  <c r="Y101" i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Y87" i="1"/>
  <c r="Y86" i="1"/>
  <c r="Y85" i="1"/>
  <c r="Y84" i="1"/>
  <c r="Y83" i="1"/>
  <c r="Y82" i="1"/>
  <c r="Y81" i="1"/>
  <c r="Y80" i="1"/>
  <c r="Y79" i="1"/>
  <c r="Y78" i="1"/>
  <c r="Y77" i="1"/>
  <c r="Y76" i="1"/>
  <c r="Y75" i="1"/>
  <c r="Y74" i="1"/>
  <c r="Y73" i="1"/>
  <c r="Y72" i="1"/>
  <c r="Y71" i="1"/>
  <c r="Y70" i="1"/>
  <c r="Y69" i="1"/>
  <c r="Y68" i="1"/>
  <c r="Y67" i="1"/>
  <c r="Y66" i="1"/>
  <c r="Y65" i="1"/>
  <c r="Y64" i="1"/>
  <c r="Y63" i="1"/>
  <c r="Y62" i="1"/>
  <c r="Y61" i="1"/>
  <c r="Y60" i="1"/>
  <c r="Y59" i="1"/>
  <c r="Y58" i="1"/>
  <c r="Y57" i="1"/>
  <c r="Y56" i="1"/>
  <c r="Y55" i="1"/>
  <c r="Y54" i="1"/>
  <c r="Y53" i="1"/>
  <c r="Y52" i="1"/>
  <c r="Y51" i="1"/>
  <c r="Y50" i="1"/>
  <c r="Y49" i="1"/>
  <c r="Y48" i="1"/>
  <c r="Y47" i="1"/>
  <c r="Y46" i="1"/>
  <c r="Y45" i="1"/>
  <c r="Y44" i="1"/>
  <c r="Y43" i="1"/>
  <c r="Y42" i="1"/>
  <c r="Y41" i="1"/>
  <c r="Y40" i="1"/>
  <c r="Y39" i="1"/>
  <c r="Y38" i="1"/>
  <c r="Y37" i="1"/>
  <c r="Y36" i="1"/>
  <c r="Y35" i="1"/>
  <c r="Y34" i="1"/>
  <c r="Y33" i="1"/>
  <c r="Y32" i="1"/>
  <c r="Y31" i="1"/>
  <c r="Y30" i="1"/>
  <c r="Y29" i="1"/>
  <c r="Y28" i="1"/>
  <c r="Y27" i="1"/>
  <c r="Y26" i="1"/>
  <c r="M22" i="1"/>
  <c r="Z117" i="1" l="1"/>
  <c r="Z97" i="1"/>
  <c r="Z95" i="1"/>
  <c r="Z89" i="1"/>
  <c r="Z70" i="1"/>
  <c r="Z68" i="1"/>
  <c r="Z66" i="1"/>
  <c r="Z64" i="1"/>
  <c r="Z62" i="1"/>
  <c r="Z52" i="1"/>
  <c r="Z51" i="1"/>
  <c r="Z50" i="1"/>
  <c r="Z45" i="1"/>
  <c r="Z29" i="1"/>
  <c r="Z28" i="1"/>
  <c r="Z19" i="1"/>
  <c r="Z16" i="1"/>
  <c r="Z76" i="1"/>
  <c r="Z75" i="1"/>
  <c r="AH76" i="1"/>
  <c r="AH75" i="1"/>
  <c r="AL16" i="1"/>
  <c r="AH16" i="1"/>
  <c r="AL19" i="1"/>
  <c r="AL97" i="1"/>
  <c r="AL95" i="1"/>
  <c r="AL89" i="1"/>
  <c r="AL64" i="1"/>
  <c r="AL51" i="1"/>
  <c r="AL70" i="1"/>
  <c r="AL68" i="1"/>
  <c r="AL50" i="1"/>
  <c r="AL45" i="1"/>
  <c r="AL29" i="1"/>
  <c r="AH66" i="1"/>
  <c r="AH62" i="1"/>
  <c r="AH52" i="1"/>
  <c r="AH28" i="1"/>
  <c r="Z26" i="1"/>
  <c r="AD26" i="1"/>
  <c r="AP125" i="1" l="1"/>
  <c r="AL125" i="1"/>
  <c r="AH125" i="1"/>
  <c r="AD125" i="1"/>
  <c r="Z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2" i="1"/>
  <c r="H122" i="1"/>
  <c r="F122" i="1"/>
  <c r="E122" i="1"/>
  <c r="D122" i="1"/>
  <c r="L121" i="1"/>
  <c r="H121" i="1"/>
  <c r="F121" i="1"/>
  <c r="E121" i="1"/>
  <c r="D121" i="1"/>
  <c r="L120" i="1"/>
  <c r="H120" i="1"/>
  <c r="F120" i="1"/>
  <c r="E120" i="1"/>
  <c r="D120" i="1"/>
  <c r="L119" i="1"/>
  <c r="H119" i="1"/>
  <c r="F119" i="1"/>
  <c r="E119" i="1"/>
  <c r="D119" i="1"/>
  <c r="L118" i="1"/>
  <c r="H118" i="1"/>
  <c r="F118" i="1"/>
  <c r="E118" i="1"/>
  <c r="D118" i="1"/>
  <c r="L117" i="1"/>
  <c r="H117" i="1"/>
  <c r="F117" i="1"/>
  <c r="E117" i="1"/>
  <c r="D117" i="1"/>
  <c r="L116" i="1"/>
  <c r="J116" i="1"/>
  <c r="H116" i="1"/>
  <c r="F116" i="1"/>
  <c r="E116" i="1"/>
  <c r="D116" i="1"/>
  <c r="L115" i="1"/>
  <c r="H115" i="1"/>
  <c r="F115" i="1"/>
  <c r="E115" i="1"/>
  <c r="D115" i="1"/>
  <c r="L114" i="1"/>
  <c r="H114" i="1"/>
  <c r="F114" i="1"/>
  <c r="E114" i="1"/>
  <c r="D114" i="1"/>
  <c r="L113" i="1"/>
  <c r="J113" i="1"/>
  <c r="H113" i="1"/>
  <c r="F113" i="1"/>
  <c r="E113" i="1"/>
  <c r="D113" i="1"/>
  <c r="L112" i="1"/>
  <c r="H112" i="1"/>
  <c r="F112" i="1"/>
  <c r="E112" i="1"/>
  <c r="D112" i="1"/>
  <c r="L111" i="1"/>
  <c r="J111" i="1"/>
  <c r="H111" i="1"/>
  <c r="F111" i="1"/>
  <c r="E111" i="1"/>
  <c r="D111" i="1"/>
  <c r="L110" i="1"/>
  <c r="H110" i="1"/>
  <c r="F110" i="1"/>
  <c r="E110" i="1"/>
  <c r="D110" i="1"/>
  <c r="L109" i="1"/>
  <c r="H109" i="1"/>
  <c r="F109" i="1"/>
  <c r="E109" i="1"/>
  <c r="D109" i="1"/>
  <c r="L108" i="1"/>
  <c r="H108" i="1"/>
  <c r="F108" i="1"/>
  <c r="E108" i="1"/>
  <c r="D108" i="1"/>
  <c r="L107" i="1"/>
  <c r="H107" i="1"/>
  <c r="F107" i="1"/>
  <c r="E107" i="1"/>
  <c r="D107" i="1"/>
  <c r="L106" i="1"/>
  <c r="H106" i="1"/>
  <c r="F106" i="1"/>
  <c r="E106" i="1"/>
  <c r="D106" i="1"/>
  <c r="L105" i="1"/>
  <c r="H105" i="1"/>
  <c r="F105" i="1"/>
  <c r="E105" i="1"/>
  <c r="D105" i="1"/>
  <c r="L104" i="1"/>
  <c r="H104" i="1"/>
  <c r="F104" i="1"/>
  <c r="E104" i="1"/>
  <c r="D104" i="1"/>
  <c r="L103" i="1"/>
  <c r="H103" i="1"/>
  <c r="F103" i="1"/>
  <c r="E103" i="1"/>
  <c r="D103" i="1"/>
  <c r="L102" i="1"/>
  <c r="H102" i="1"/>
  <c r="F102" i="1"/>
  <c r="E102" i="1"/>
  <c r="D102" i="1"/>
  <c r="L101" i="1"/>
  <c r="H101" i="1"/>
  <c r="F101" i="1"/>
  <c r="E101" i="1"/>
  <c r="D101" i="1"/>
  <c r="L100" i="1"/>
  <c r="H100" i="1"/>
  <c r="F100" i="1"/>
  <c r="E100" i="1"/>
  <c r="D100" i="1"/>
  <c r="L99" i="1"/>
  <c r="H99" i="1"/>
  <c r="F99" i="1"/>
  <c r="E99" i="1"/>
  <c r="D99" i="1"/>
  <c r="L98" i="1"/>
  <c r="H98" i="1"/>
  <c r="F98" i="1"/>
  <c r="E98" i="1"/>
  <c r="D98" i="1"/>
  <c r="L97" i="1"/>
  <c r="H97" i="1"/>
  <c r="F97" i="1"/>
  <c r="E97" i="1"/>
  <c r="D97" i="1"/>
  <c r="L96" i="1"/>
  <c r="H96" i="1"/>
  <c r="F96" i="1"/>
  <c r="E96" i="1"/>
  <c r="D96" i="1"/>
  <c r="L95" i="1"/>
  <c r="H95" i="1"/>
  <c r="F95" i="1"/>
  <c r="E95" i="1"/>
  <c r="D95" i="1"/>
  <c r="L94" i="1"/>
  <c r="H94" i="1"/>
  <c r="F94" i="1"/>
  <c r="E94" i="1"/>
  <c r="D94" i="1"/>
  <c r="L93" i="1"/>
  <c r="H93" i="1"/>
  <c r="F93" i="1"/>
  <c r="E93" i="1"/>
  <c r="D93" i="1"/>
  <c r="L92" i="1"/>
  <c r="H92" i="1"/>
  <c r="F92" i="1"/>
  <c r="E92" i="1"/>
  <c r="D92" i="1"/>
  <c r="L91" i="1"/>
  <c r="H91" i="1"/>
  <c r="F91" i="1"/>
  <c r="E91" i="1"/>
  <c r="D91" i="1"/>
  <c r="L90" i="1"/>
  <c r="H90" i="1"/>
  <c r="F90" i="1"/>
  <c r="E90" i="1"/>
  <c r="D90" i="1"/>
  <c r="L89" i="1"/>
  <c r="H89" i="1"/>
  <c r="F89" i="1"/>
  <c r="E89" i="1"/>
  <c r="D89" i="1"/>
  <c r="L88" i="1"/>
  <c r="J88" i="1"/>
  <c r="H88" i="1"/>
  <c r="F88" i="1"/>
  <c r="E88" i="1"/>
  <c r="D88" i="1"/>
  <c r="L87" i="1"/>
  <c r="H87" i="1"/>
  <c r="F87" i="1"/>
  <c r="E87" i="1"/>
  <c r="D87" i="1"/>
  <c r="L86" i="1"/>
  <c r="H86" i="1"/>
  <c r="F86" i="1"/>
  <c r="E86" i="1"/>
  <c r="D86" i="1"/>
  <c r="L85" i="1"/>
  <c r="J85" i="1"/>
  <c r="H85" i="1"/>
  <c r="F85" i="1"/>
  <c r="E85" i="1"/>
  <c r="D85" i="1"/>
  <c r="L84" i="1"/>
  <c r="J84" i="1"/>
  <c r="H84" i="1"/>
  <c r="F84" i="1"/>
  <c r="E84" i="1"/>
  <c r="D84" i="1"/>
  <c r="L83" i="1"/>
  <c r="H83" i="1"/>
  <c r="F83" i="1"/>
  <c r="E83" i="1"/>
  <c r="D83" i="1"/>
  <c r="L82" i="1"/>
  <c r="J82" i="1"/>
  <c r="H82" i="1"/>
  <c r="F82" i="1"/>
  <c r="E82" i="1"/>
  <c r="D82" i="1"/>
  <c r="L81" i="1"/>
  <c r="H81" i="1"/>
  <c r="F81" i="1"/>
  <c r="E81" i="1"/>
  <c r="D81" i="1"/>
  <c r="L80" i="1"/>
  <c r="J80" i="1"/>
  <c r="H80" i="1"/>
  <c r="F80" i="1"/>
  <c r="E80" i="1"/>
  <c r="D80" i="1"/>
  <c r="L79" i="1"/>
  <c r="J79" i="1"/>
  <c r="H79" i="1"/>
  <c r="F79" i="1"/>
  <c r="E79" i="1"/>
  <c r="D79" i="1"/>
  <c r="L78" i="1"/>
  <c r="J78" i="1"/>
  <c r="H78" i="1"/>
  <c r="F78" i="1"/>
  <c r="E78" i="1"/>
  <c r="D78" i="1"/>
  <c r="L77" i="1"/>
  <c r="J77" i="1"/>
  <c r="H77" i="1"/>
  <c r="F77" i="1"/>
  <c r="E77" i="1"/>
  <c r="D77" i="1"/>
  <c r="L76" i="1"/>
  <c r="J76" i="1"/>
  <c r="H76" i="1"/>
  <c r="F76" i="1"/>
  <c r="E76" i="1"/>
  <c r="D76" i="1"/>
  <c r="L75" i="1"/>
  <c r="J75" i="1"/>
  <c r="H75" i="1"/>
  <c r="F75" i="1"/>
  <c r="E75" i="1"/>
  <c r="D75" i="1"/>
  <c r="L74" i="1"/>
  <c r="H74" i="1"/>
  <c r="F74" i="1"/>
  <c r="E74" i="1"/>
  <c r="D74" i="1"/>
  <c r="L73" i="1"/>
  <c r="H73" i="1"/>
  <c r="F73" i="1"/>
  <c r="E73" i="1"/>
  <c r="D73" i="1"/>
  <c r="L72" i="1"/>
  <c r="H72" i="1"/>
  <c r="F72" i="1"/>
  <c r="E72" i="1"/>
  <c r="D72" i="1"/>
  <c r="L71" i="1"/>
  <c r="H71" i="1"/>
  <c r="F71" i="1"/>
  <c r="E71" i="1"/>
  <c r="D71" i="1"/>
  <c r="L70" i="1"/>
  <c r="H70" i="1"/>
  <c r="F70" i="1"/>
  <c r="E70" i="1"/>
  <c r="D70" i="1"/>
  <c r="L69" i="1"/>
  <c r="J69" i="1"/>
  <c r="H69" i="1"/>
  <c r="F69" i="1"/>
  <c r="E69" i="1"/>
  <c r="D69" i="1"/>
  <c r="L68" i="1"/>
  <c r="H68" i="1"/>
  <c r="F68" i="1"/>
  <c r="E68" i="1"/>
  <c r="D68" i="1"/>
  <c r="L67" i="1"/>
  <c r="H67" i="1"/>
  <c r="F67" i="1"/>
  <c r="E67" i="1"/>
  <c r="D67" i="1"/>
  <c r="L66" i="1"/>
  <c r="H66" i="1"/>
  <c r="F66" i="1"/>
  <c r="E66" i="1"/>
  <c r="D66" i="1"/>
  <c r="L65" i="1"/>
  <c r="H65" i="1"/>
  <c r="F65" i="1"/>
  <c r="E65" i="1"/>
  <c r="D65" i="1"/>
  <c r="L64" i="1"/>
  <c r="H64" i="1"/>
  <c r="F64" i="1"/>
  <c r="E64" i="1"/>
  <c r="D64" i="1"/>
  <c r="L63" i="1"/>
  <c r="J63" i="1"/>
  <c r="H63" i="1"/>
  <c r="F63" i="1"/>
  <c r="E63" i="1"/>
  <c r="D63" i="1"/>
  <c r="L62" i="1"/>
  <c r="H62" i="1"/>
  <c r="F62" i="1"/>
  <c r="E62" i="1"/>
  <c r="D62" i="1"/>
  <c r="L61" i="1"/>
  <c r="H61" i="1"/>
  <c r="F61" i="1"/>
  <c r="E61" i="1"/>
  <c r="D61" i="1"/>
  <c r="L60" i="1"/>
  <c r="H60" i="1"/>
  <c r="F60" i="1"/>
  <c r="E60" i="1"/>
  <c r="D60" i="1"/>
  <c r="L59" i="1"/>
  <c r="H59" i="1"/>
  <c r="F59" i="1"/>
  <c r="E59" i="1"/>
  <c r="D59" i="1"/>
  <c r="L58" i="1"/>
  <c r="H58" i="1"/>
  <c r="F58" i="1"/>
  <c r="E58" i="1"/>
  <c r="D58" i="1"/>
  <c r="L57" i="1"/>
  <c r="H57" i="1"/>
  <c r="F57" i="1"/>
  <c r="E57" i="1"/>
  <c r="D57" i="1"/>
  <c r="L56" i="1"/>
  <c r="H56" i="1"/>
  <c r="F56" i="1"/>
  <c r="E56" i="1"/>
  <c r="D56" i="1"/>
  <c r="L55" i="1"/>
  <c r="H55" i="1"/>
  <c r="F55" i="1"/>
  <c r="E55" i="1"/>
  <c r="D55" i="1"/>
  <c r="L54" i="1"/>
  <c r="H54" i="1"/>
  <c r="F54" i="1"/>
  <c r="E54" i="1"/>
  <c r="D54" i="1"/>
  <c r="L53" i="1"/>
  <c r="J53" i="1"/>
  <c r="H53" i="1"/>
  <c r="F53" i="1"/>
  <c r="E53" i="1"/>
  <c r="D53" i="1"/>
  <c r="L52" i="1"/>
  <c r="H52" i="1"/>
  <c r="F52" i="1"/>
  <c r="E52" i="1"/>
  <c r="D52" i="1"/>
  <c r="L51" i="1"/>
  <c r="H51" i="1"/>
  <c r="F51" i="1"/>
  <c r="E51" i="1"/>
  <c r="D51" i="1"/>
  <c r="L50" i="1"/>
  <c r="J50" i="1"/>
  <c r="H50" i="1"/>
  <c r="F50" i="1"/>
  <c r="E50" i="1"/>
  <c r="D50" i="1"/>
  <c r="L49" i="1"/>
  <c r="H49" i="1"/>
  <c r="F49" i="1"/>
  <c r="E49" i="1"/>
  <c r="D49" i="1"/>
  <c r="L48" i="1"/>
  <c r="H48" i="1"/>
  <c r="F48" i="1"/>
  <c r="E48" i="1"/>
  <c r="D48" i="1"/>
  <c r="L47" i="1"/>
  <c r="H47" i="1"/>
  <c r="F47" i="1"/>
  <c r="E47" i="1"/>
  <c r="D47" i="1"/>
  <c r="L46" i="1"/>
  <c r="H46" i="1"/>
  <c r="F46" i="1"/>
  <c r="E46" i="1"/>
  <c r="D46" i="1"/>
  <c r="L45" i="1"/>
  <c r="H45" i="1"/>
  <c r="F45" i="1"/>
  <c r="E45" i="1"/>
  <c r="D45" i="1"/>
  <c r="L44" i="1"/>
  <c r="H44" i="1"/>
  <c r="F44" i="1"/>
  <c r="E44" i="1"/>
  <c r="D44" i="1"/>
  <c r="L43" i="1"/>
  <c r="H43" i="1"/>
  <c r="F43" i="1"/>
  <c r="E43" i="1"/>
  <c r="D43" i="1"/>
  <c r="L42" i="1"/>
  <c r="H42" i="1"/>
  <c r="F42" i="1"/>
  <c r="E42" i="1"/>
  <c r="D42" i="1"/>
  <c r="L41" i="1"/>
  <c r="H41" i="1"/>
  <c r="F41" i="1"/>
  <c r="E41" i="1"/>
  <c r="D41" i="1"/>
  <c r="L40" i="1"/>
  <c r="H40" i="1"/>
  <c r="F40" i="1"/>
  <c r="E40" i="1"/>
  <c r="D40" i="1"/>
  <c r="L39" i="1"/>
  <c r="H39" i="1"/>
  <c r="F39" i="1"/>
  <c r="E39" i="1"/>
  <c r="D39" i="1"/>
  <c r="L38" i="1"/>
  <c r="H38" i="1"/>
  <c r="F38" i="1"/>
  <c r="E38" i="1"/>
  <c r="D38" i="1"/>
  <c r="L37" i="1"/>
  <c r="H37" i="1"/>
  <c r="F37" i="1"/>
  <c r="E37" i="1"/>
  <c r="D37" i="1"/>
  <c r="L36" i="1"/>
  <c r="J36" i="1"/>
  <c r="H36" i="1"/>
  <c r="F36" i="1"/>
  <c r="E36" i="1"/>
  <c r="D36" i="1"/>
  <c r="L35" i="1"/>
  <c r="H35" i="1"/>
  <c r="F35" i="1"/>
  <c r="E35" i="1"/>
  <c r="D35" i="1"/>
  <c r="L34" i="1"/>
  <c r="H34" i="1"/>
  <c r="F34" i="1"/>
  <c r="E34" i="1"/>
  <c r="D34" i="1"/>
  <c r="L33" i="1"/>
  <c r="H33" i="1"/>
  <c r="F33" i="1"/>
  <c r="E33" i="1"/>
  <c r="D33" i="1"/>
  <c r="L32" i="1"/>
  <c r="H32" i="1"/>
  <c r="F32" i="1"/>
  <c r="E32" i="1"/>
  <c r="D32" i="1"/>
  <c r="L31" i="1"/>
  <c r="H31" i="1"/>
  <c r="F31" i="1"/>
  <c r="E31" i="1"/>
  <c r="D31" i="1"/>
  <c r="L30" i="1"/>
  <c r="H30" i="1"/>
  <c r="F30" i="1"/>
  <c r="E30" i="1"/>
  <c r="D30" i="1"/>
  <c r="L29" i="1"/>
  <c r="H29" i="1"/>
  <c r="F29" i="1"/>
  <c r="E29" i="1"/>
  <c r="D29" i="1"/>
  <c r="L28" i="1"/>
  <c r="H28" i="1"/>
  <c r="F28" i="1"/>
  <c r="E28" i="1"/>
  <c r="D28" i="1"/>
  <c r="L27" i="1"/>
  <c r="J27" i="1"/>
  <c r="H27" i="1"/>
  <c r="F27" i="1"/>
  <c r="E27" i="1"/>
  <c r="D27" i="1"/>
  <c r="L26" i="1"/>
  <c r="J26" i="1"/>
  <c r="H26" i="1"/>
  <c r="F26" i="1"/>
  <c r="E26" i="1"/>
  <c r="D26" i="1"/>
  <c r="L25" i="1"/>
  <c r="H25" i="1"/>
  <c r="F25" i="1"/>
  <c r="E25" i="1"/>
  <c r="D25" i="1"/>
  <c r="L24" i="1"/>
  <c r="J24" i="1"/>
  <c r="H24" i="1"/>
  <c r="F24" i="1"/>
  <c r="E24" i="1"/>
  <c r="D24" i="1"/>
  <c r="L23" i="1"/>
  <c r="H23" i="1"/>
  <c r="F23" i="1"/>
  <c r="E23" i="1"/>
  <c r="D23" i="1"/>
  <c r="L22" i="1"/>
  <c r="H22" i="1"/>
  <c r="F22" i="1"/>
  <c r="E22" i="1"/>
  <c r="D22" i="1"/>
  <c r="L21" i="1"/>
  <c r="J21" i="1"/>
  <c r="H21" i="1"/>
  <c r="F21" i="1"/>
  <c r="E21" i="1"/>
  <c r="D21" i="1"/>
  <c r="L20" i="1"/>
  <c r="J20" i="1"/>
  <c r="H20" i="1"/>
  <c r="F20" i="1"/>
  <c r="E20" i="1"/>
  <c r="D20" i="1"/>
  <c r="L19" i="1"/>
  <c r="H19" i="1"/>
  <c r="F19" i="1"/>
  <c r="E19" i="1"/>
  <c r="D19" i="1"/>
  <c r="L18" i="1"/>
  <c r="H18" i="1"/>
  <c r="F18" i="1"/>
  <c r="E18" i="1"/>
  <c r="D18" i="1"/>
  <c r="L17" i="1"/>
  <c r="H17" i="1"/>
  <c r="F17" i="1"/>
  <c r="E17" i="1"/>
  <c r="D17" i="1"/>
  <c r="AT122" i="1"/>
  <c r="AU122" i="1" s="1"/>
  <c r="AT121" i="1"/>
  <c r="AU121" i="1" s="1"/>
  <c r="AT120" i="1"/>
  <c r="AU120" i="1" s="1"/>
  <c r="AT119" i="1"/>
  <c r="AU119" i="1" s="1"/>
  <c r="AT118" i="1"/>
  <c r="AU118" i="1" s="1"/>
  <c r="AT117" i="1"/>
  <c r="AU117" i="1" s="1"/>
  <c r="AT116" i="1"/>
  <c r="AU116" i="1" s="1"/>
  <c r="AT115" i="1"/>
  <c r="AU115" i="1" s="1"/>
  <c r="AT114" i="1"/>
  <c r="AU114" i="1" s="1"/>
  <c r="AT113" i="1"/>
  <c r="AU113" i="1" s="1"/>
  <c r="AT112" i="1"/>
  <c r="AU112" i="1" s="1"/>
  <c r="AT111" i="1"/>
  <c r="AU111" i="1" s="1"/>
  <c r="AT110" i="1"/>
  <c r="AT109" i="1"/>
  <c r="AT108" i="1"/>
  <c r="AT107" i="1"/>
  <c r="AT106" i="1"/>
  <c r="AT105" i="1"/>
  <c r="AT104" i="1"/>
  <c r="AT103" i="1"/>
  <c r="AT102" i="1"/>
  <c r="AT101" i="1"/>
  <c r="AT100" i="1"/>
  <c r="AT99" i="1"/>
  <c r="AT98" i="1"/>
  <c r="AT97" i="1"/>
  <c r="AT96" i="1"/>
  <c r="AT95" i="1"/>
  <c r="AT94" i="1"/>
  <c r="AT93" i="1"/>
  <c r="AU93" i="1" s="1"/>
  <c r="AT92" i="1"/>
  <c r="AU92" i="1" s="1"/>
  <c r="AT91" i="1"/>
  <c r="AU91" i="1" s="1"/>
  <c r="AT90" i="1"/>
  <c r="AU90" i="1" s="1"/>
  <c r="AT89" i="1"/>
  <c r="AU89" i="1" s="1"/>
  <c r="AT88" i="1"/>
  <c r="AU88" i="1" s="1"/>
  <c r="AT87" i="1"/>
  <c r="AU87" i="1" s="1"/>
  <c r="AT86" i="1"/>
  <c r="AU86" i="1" s="1"/>
  <c r="AT85" i="1"/>
  <c r="AU85" i="1" s="1"/>
  <c r="AT84" i="1"/>
  <c r="AU84" i="1" s="1"/>
  <c r="AT83" i="1"/>
  <c r="AU83" i="1" s="1"/>
  <c r="AT82" i="1"/>
  <c r="AU82" i="1" s="1"/>
  <c r="AT81" i="1"/>
  <c r="AU81" i="1" s="1"/>
  <c r="AT80" i="1"/>
  <c r="AU80" i="1" s="1"/>
  <c r="AT79" i="1"/>
  <c r="AU79" i="1" s="1"/>
  <c r="AT78" i="1"/>
  <c r="AU78" i="1" s="1"/>
  <c r="AT77" i="1"/>
  <c r="AU77" i="1" s="1"/>
  <c r="AT76" i="1"/>
  <c r="AU76" i="1" s="1"/>
  <c r="AT75" i="1"/>
  <c r="AU75" i="1" s="1"/>
  <c r="AT74" i="1"/>
  <c r="AU74" i="1" s="1"/>
  <c r="AT73" i="1"/>
  <c r="AU73" i="1" s="1"/>
  <c r="AT72" i="1"/>
  <c r="AU72" i="1" s="1"/>
  <c r="AT71" i="1"/>
  <c r="AU71" i="1" s="1"/>
  <c r="AT70" i="1"/>
  <c r="AU70" i="1" s="1"/>
  <c r="AT69" i="1"/>
  <c r="AU69" i="1" s="1"/>
  <c r="AT68" i="1"/>
  <c r="AU68" i="1" s="1"/>
  <c r="AT67" i="1"/>
  <c r="AU67" i="1" s="1"/>
  <c r="AT66" i="1"/>
  <c r="AU66" i="1" s="1"/>
  <c r="AT65" i="1"/>
  <c r="AU65" i="1" s="1"/>
  <c r="AT64" i="1"/>
  <c r="AU64" i="1" s="1"/>
  <c r="AT63" i="1"/>
  <c r="AU63" i="1" s="1"/>
  <c r="AT62" i="1"/>
  <c r="AU62" i="1" s="1"/>
  <c r="AT61" i="1"/>
  <c r="AU61" i="1" s="1"/>
  <c r="AT60" i="1"/>
  <c r="AU60" i="1" s="1"/>
  <c r="AT59" i="1"/>
  <c r="AU59" i="1" s="1"/>
  <c r="AT58" i="1"/>
  <c r="AU58" i="1" s="1"/>
  <c r="AT57" i="1"/>
  <c r="AU57" i="1" s="1"/>
  <c r="AT56" i="1"/>
  <c r="AU56" i="1" s="1"/>
  <c r="AT55" i="1"/>
  <c r="AU55" i="1" s="1"/>
  <c r="AT54" i="1"/>
  <c r="AU54" i="1" s="1"/>
  <c r="AT53" i="1"/>
  <c r="AU53" i="1" s="1"/>
  <c r="AT52" i="1"/>
  <c r="AU52" i="1" s="1"/>
  <c r="AT51" i="1"/>
  <c r="AU51" i="1" s="1"/>
  <c r="AT50" i="1"/>
  <c r="AU50" i="1" s="1"/>
  <c r="AT49" i="1"/>
  <c r="AU49" i="1" s="1"/>
  <c r="AT48" i="1"/>
  <c r="AU48" i="1" s="1"/>
  <c r="AT47" i="1"/>
  <c r="AU47" i="1" s="1"/>
  <c r="AT46" i="1"/>
  <c r="AU46" i="1" s="1"/>
  <c r="AT45" i="1"/>
  <c r="AU45" i="1" s="1"/>
  <c r="AT44" i="1"/>
  <c r="AU44" i="1" s="1"/>
  <c r="AT43" i="1"/>
  <c r="AU43" i="1" s="1"/>
  <c r="AT42" i="1"/>
  <c r="AU42" i="1" s="1"/>
  <c r="AT41" i="1"/>
  <c r="AU41" i="1" s="1"/>
  <c r="AT40" i="1"/>
  <c r="AU40" i="1" s="1"/>
  <c r="AT39" i="1"/>
  <c r="AU39" i="1" s="1"/>
  <c r="AT38" i="1"/>
  <c r="AU38" i="1" s="1"/>
  <c r="AT37" i="1"/>
  <c r="AU37" i="1" s="1"/>
  <c r="AT36" i="1"/>
  <c r="AU36" i="1" s="1"/>
  <c r="AT35" i="1"/>
  <c r="AU35" i="1" s="1"/>
  <c r="AT34" i="1"/>
  <c r="AU34" i="1" s="1"/>
  <c r="AT33" i="1"/>
  <c r="AU33" i="1" s="1"/>
  <c r="AT32" i="1"/>
  <c r="AU32" i="1" s="1"/>
  <c r="AT31" i="1"/>
  <c r="AU31" i="1" s="1"/>
  <c r="AT30" i="1"/>
  <c r="AU30" i="1" s="1"/>
  <c r="AT29" i="1"/>
  <c r="AU29" i="1" s="1"/>
  <c r="AT28" i="1"/>
  <c r="AU28" i="1" s="1"/>
  <c r="AT27" i="1"/>
  <c r="AU27" i="1" s="1"/>
  <c r="AT26" i="1"/>
  <c r="AU26" i="1" s="1"/>
  <c r="L16" i="1"/>
  <c r="H16" i="1"/>
  <c r="F16" i="1"/>
  <c r="E16" i="1"/>
  <c r="D16" i="1"/>
  <c r="L125" i="1" l="1"/>
  <c r="J122" i="1" l="1"/>
  <c r="K122" i="1"/>
  <c r="J121" i="1"/>
  <c r="K121" i="1"/>
  <c r="J120" i="1"/>
  <c r="K120" i="1"/>
  <c r="J119" i="1"/>
  <c r="K119" i="1"/>
  <c r="J118" i="1"/>
  <c r="K118" i="1"/>
  <c r="J117" i="1"/>
  <c r="K117" i="1"/>
  <c r="J115" i="1" l="1"/>
  <c r="K115" i="1"/>
  <c r="J114" i="1"/>
  <c r="K114" i="1"/>
  <c r="K116" i="1" l="1"/>
  <c r="K113" i="1" l="1"/>
  <c r="J112" i="1"/>
  <c r="K112" i="1"/>
  <c r="K111" i="1"/>
  <c r="J110" i="1"/>
  <c r="K110" i="1"/>
  <c r="K104" i="1" l="1"/>
  <c r="J106" i="1"/>
  <c r="J109" i="1"/>
  <c r="J104" i="1"/>
  <c r="K107" i="1"/>
  <c r="K108" i="1"/>
  <c r="J107" i="1"/>
  <c r="K105" i="1"/>
  <c r="J108" i="1"/>
  <c r="K109" i="1"/>
  <c r="K106" i="1"/>
  <c r="J105" i="1"/>
  <c r="J74" i="1" l="1"/>
  <c r="J73" i="1"/>
  <c r="J72" i="1"/>
  <c r="J71" i="1"/>
  <c r="J70" i="1"/>
  <c r="J68" i="1"/>
  <c r="J67" i="1"/>
  <c r="J66" i="1"/>
  <c r="J65" i="1"/>
  <c r="J64" i="1"/>
  <c r="J62" i="1"/>
  <c r="J61" i="1"/>
  <c r="J60" i="1"/>
  <c r="J59" i="1"/>
  <c r="J58" i="1"/>
  <c r="J57" i="1"/>
  <c r="J56" i="1"/>
  <c r="J55" i="1"/>
  <c r="J54" i="1"/>
  <c r="J52" i="1"/>
  <c r="J51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5" i="1"/>
  <c r="J34" i="1"/>
  <c r="J33" i="1"/>
  <c r="J32" i="1"/>
  <c r="J31" i="1"/>
  <c r="J30" i="1"/>
  <c r="J29" i="1"/>
  <c r="J28" i="1"/>
  <c r="J25" i="1"/>
  <c r="J23" i="1"/>
  <c r="J22" i="1"/>
  <c r="J19" i="1"/>
  <c r="J18" i="1"/>
  <c r="J17" i="1"/>
  <c r="J16" i="1"/>
  <c r="J98" i="1" l="1"/>
  <c r="K98" i="1"/>
  <c r="K86" i="1" l="1"/>
  <c r="K78" i="1" l="1"/>
  <c r="J83" i="1"/>
  <c r="J91" i="1"/>
  <c r="J100" i="1"/>
  <c r="J92" i="1"/>
  <c r="J101" i="1"/>
  <c r="K79" i="1"/>
  <c r="J93" i="1"/>
  <c r="J102" i="1"/>
  <c r="J87" i="1"/>
  <c r="J96" i="1"/>
  <c r="K77" i="1"/>
  <c r="J89" i="1"/>
  <c r="J97" i="1"/>
  <c r="J94" i="1"/>
  <c r="J86" i="1"/>
  <c r="J95" i="1"/>
  <c r="J103" i="1"/>
  <c r="J81" i="1"/>
  <c r="J90" i="1"/>
  <c r="J99" i="1"/>
  <c r="K67" i="1"/>
  <c r="K81" i="1"/>
  <c r="K21" i="1" l="1"/>
  <c r="J125" i="1"/>
  <c r="K82" i="1" l="1"/>
  <c r="K20" i="1" l="1"/>
  <c r="K63" i="1" l="1"/>
  <c r="K73" i="1" l="1"/>
  <c r="K102" i="1"/>
  <c r="K51" i="1" l="1"/>
  <c r="K92" i="1" l="1"/>
  <c r="K87" i="1" l="1"/>
  <c r="K29" i="1" l="1"/>
  <c r="K48" i="1" l="1"/>
  <c r="K28" i="1" l="1"/>
  <c r="K83" i="1" l="1"/>
  <c r="K17" i="1" l="1"/>
  <c r="K18" i="1"/>
  <c r="K75" i="1"/>
  <c r="K76" i="1"/>
  <c r="K35" i="1" l="1"/>
  <c r="K53" i="1" l="1"/>
  <c r="K65" i="1"/>
  <c r="K19" i="1"/>
  <c r="K69" i="1"/>
  <c r="K49" i="1" l="1"/>
  <c r="K38" i="1"/>
  <c r="K34" i="1"/>
  <c r="K24" i="1"/>
  <c r="K80" i="1" l="1"/>
  <c r="K39" i="1"/>
  <c r="K99" i="1"/>
  <c r="K103" i="1"/>
  <c r="K27" i="1"/>
  <c r="K42" i="1"/>
  <c r="K46" i="1"/>
  <c r="K47" i="1"/>
  <c r="K54" i="1"/>
  <c r="K58" i="1"/>
  <c r="K61" i="1"/>
  <c r="K100" i="1"/>
  <c r="K71" i="1"/>
  <c r="K33" i="1"/>
  <c r="K89" i="1"/>
  <c r="K74" i="1"/>
  <c r="K55" i="1"/>
  <c r="K25" i="1"/>
  <c r="K84" i="1"/>
  <c r="K50" i="1"/>
  <c r="K85" i="1"/>
  <c r="K36" i="1"/>
  <c r="K57" i="1"/>
  <c r="K16" i="1"/>
  <c r="K23" i="1"/>
  <c r="K32" i="1"/>
  <c r="K26" i="1"/>
  <c r="K30" i="1"/>
  <c r="K37" i="1"/>
  <c r="K45" i="1"/>
  <c r="K97" i="1"/>
  <c r="K70" i="1"/>
  <c r="K40" i="1"/>
  <c r="K44" i="1"/>
  <c r="K93" i="1"/>
  <c r="K94" i="1"/>
  <c r="K96" i="1"/>
  <c r="K56" i="1"/>
  <c r="K59" i="1"/>
  <c r="K64" i="1"/>
  <c r="K101" i="1"/>
  <c r="K72" i="1"/>
  <c r="K43" i="1"/>
  <c r="K90" i="1"/>
  <c r="K62" i="1"/>
  <c r="K68" i="1"/>
  <c r="K88" i="1"/>
  <c r="K41" i="1"/>
  <c r="K91" i="1"/>
  <c r="K95" i="1"/>
  <c r="K60" i="1"/>
  <c r="K66" i="1"/>
  <c r="K22" i="1"/>
  <c r="K31" i="1"/>
  <c r="K52" i="1"/>
  <c r="K125" i="1" l="1"/>
  <c r="K126" i="1" l="1"/>
  <c r="AT124" i="1" l="1"/>
  <c r="Y124" i="1"/>
  <c r="Y110" i="1"/>
  <c r="AU110" i="1" s="1"/>
  <c r="Y109" i="1"/>
  <c r="AU109" i="1" s="1"/>
  <c r="AU108" i="1"/>
  <c r="AU107" i="1"/>
  <c r="AU106" i="1"/>
  <c r="AU105" i="1"/>
  <c r="AU104" i="1"/>
  <c r="AU103" i="1"/>
  <c r="AU102" i="1"/>
  <c r="AU101" i="1"/>
  <c r="AU100" i="1"/>
  <c r="AU99" i="1"/>
  <c r="AU98" i="1"/>
  <c r="AU97" i="1"/>
  <c r="AU96" i="1"/>
  <c r="AU95" i="1"/>
  <c r="AU94" i="1"/>
  <c r="AT25" i="1"/>
  <c r="Y25" i="1"/>
  <c r="AT24" i="1"/>
  <c r="Y24" i="1"/>
  <c r="AT23" i="1"/>
  <c r="Y23" i="1"/>
  <c r="AT22" i="1"/>
  <c r="Y22" i="1"/>
  <c r="AT21" i="1"/>
  <c r="Y21" i="1"/>
  <c r="AT20" i="1"/>
  <c r="Y20" i="1"/>
  <c r="AT19" i="1"/>
  <c r="Y19" i="1"/>
  <c r="AT18" i="1"/>
  <c r="Y18" i="1"/>
  <c r="AT17" i="1"/>
  <c r="Y17" i="1"/>
  <c r="AT16" i="1"/>
  <c r="Y16" i="1"/>
  <c r="Y125" i="1" l="1"/>
  <c r="E13" i="1" s="1"/>
  <c r="AT125" i="1"/>
  <c r="AU124" i="1"/>
  <c r="AU21" i="1"/>
  <c r="AU18" i="1"/>
  <c r="AU22" i="1"/>
  <c r="AU25" i="1"/>
  <c r="AU19" i="1"/>
  <c r="AU23" i="1"/>
  <c r="AU20" i="1"/>
  <c r="AU17" i="1"/>
  <c r="AU24" i="1"/>
  <c r="AU16" i="1"/>
  <c r="AU125" i="1" l="1"/>
</calcChain>
</file>

<file path=xl/comments1.xml><?xml version="1.0" encoding="utf-8"?>
<comments xmlns="http://schemas.openxmlformats.org/spreadsheetml/2006/main">
  <authors>
    <author>Edgardo Saavedra Manzano</author>
  </authors>
  <commentList>
    <comment ref="N33" authorId="0" shapeId="0">
      <text>
        <r>
          <rPr>
            <b/>
            <sz val="9"/>
            <color indexed="81"/>
            <rFont val="Tahoma"/>
            <family val="2"/>
          </rPr>
          <t>Edgardo Saavedra Manzano:
I</t>
        </r>
        <r>
          <rPr>
            <sz val="9"/>
            <color indexed="81"/>
            <rFont val="Tahoma"/>
            <family val="2"/>
          </rPr>
          <t>ngresado a sigfe como 00No Aplica, se ingresa a proyecto según Inf. De Gore Ñuble.</t>
        </r>
      </text>
    </comment>
  </commentList>
</comments>
</file>

<file path=xl/sharedStrings.xml><?xml version="1.0" encoding="utf-8"?>
<sst xmlns="http://schemas.openxmlformats.org/spreadsheetml/2006/main" count="11444" uniqueCount="2292">
  <si>
    <t>INFORMACIÓN RESOLUCIONES GORE ST 31 PROGRAMA INVERSIÓN REGIONAL</t>
  </si>
  <si>
    <t>Ley Inicial 2021</t>
  </si>
  <si>
    <t>Ley Vigente 2021</t>
  </si>
  <si>
    <t>Ley Vigente Medicion 2021</t>
  </si>
  <si>
    <t>Gasto Acumulado</t>
  </si>
  <si>
    <t>IDENTIFICACIÓN INICIAL</t>
  </si>
  <si>
    <t>MODIFICACIÓN</t>
  </si>
  <si>
    <t>Programa Financiero</t>
  </si>
  <si>
    <t>N°</t>
  </si>
  <si>
    <t>ST-Item</t>
  </si>
  <si>
    <t>Código BIP</t>
  </si>
  <si>
    <t xml:space="preserve">Nombre de proyecto </t>
  </si>
  <si>
    <t>Etapa</t>
  </si>
  <si>
    <t xml:space="preserve">  Región </t>
  </si>
  <si>
    <t>Comuna</t>
  </si>
  <si>
    <t>Tipo A=Arrastre , N= Nuevo</t>
  </si>
  <si>
    <t>Costo Total Ficha IDI</t>
  </si>
  <si>
    <t xml:space="preserve">    Ejecutado Años Anteriores FICHA IDI</t>
  </si>
  <si>
    <t>Saldo Proximos Años Ficha IDI</t>
  </si>
  <si>
    <t>Enero mensual SIGFE 2021</t>
  </si>
  <si>
    <t>Febrero mensual SIGFE 2021</t>
  </si>
  <si>
    <t>Marzo mensual SIGFE 2021</t>
  </si>
  <si>
    <t>Abril mensual SIGFE 2021</t>
  </si>
  <si>
    <t>Mayo mensual SIGFE 2021</t>
  </si>
  <si>
    <t>Junio mensual SIGFE 2021</t>
  </si>
  <si>
    <t>Julio mensual SIGFE 2021</t>
  </si>
  <si>
    <t>Agosto mensual SIGFE 2021</t>
  </si>
  <si>
    <t>Septiembre mensual SIGFE 2021</t>
  </si>
  <si>
    <t>Octubre mensual SIGFE 2021</t>
  </si>
  <si>
    <t>Noviembre mensual SIGFE 2021</t>
  </si>
  <si>
    <t>Diciembre mensual SIGFE 2021</t>
  </si>
  <si>
    <t>Total Ejecución acumulada 2021</t>
  </si>
  <si>
    <t>Monto Identificado Año 2021</t>
  </si>
  <si>
    <t xml:space="preserve">N° Resolución
</t>
  </si>
  <si>
    <t>Fecha Resolución</t>
  </si>
  <si>
    <t>Fecha de Toma de Razón</t>
  </si>
  <si>
    <t>Monto Modificado 2021</t>
  </si>
  <si>
    <t>Total Identificado</t>
  </si>
  <si>
    <t>Saldo  por
Ejecutar</t>
  </si>
  <si>
    <t>31.02</t>
  </si>
  <si>
    <t xml:space="preserve">Total M$ </t>
  </si>
  <si>
    <t>ESTE INFORME DEBE CONTENER INFORMACIÓN DE LAS RESLUCIONES TOMADAS RAZÓN AL 31/01/2021</t>
  </si>
  <si>
    <t>31.01</t>
  </si>
  <si>
    <t>31.03</t>
  </si>
  <si>
    <t>N° Resolución
003</t>
  </si>
  <si>
    <t>N° Resolución
009</t>
  </si>
  <si>
    <t>N° Resolución
013</t>
  </si>
  <si>
    <t>Fecha Resolución     21 01 2021</t>
  </si>
  <si>
    <t>Fecha de Toma de Razón            25 01 2021</t>
  </si>
  <si>
    <t>Fecha Resolución     17 02 2021</t>
  </si>
  <si>
    <t>Fecha de Toma de Razón       22 02 2021</t>
  </si>
  <si>
    <t>Fecha Resolución     22 03 2021</t>
  </si>
  <si>
    <t>Fecha de Toma de Razón            26 03 2021</t>
  </si>
  <si>
    <t>Reposición Escuela F-35 Fundición Paipote, Copiapó</t>
  </si>
  <si>
    <t>EJECUCION</t>
  </si>
  <si>
    <t>ATACAMA</t>
  </si>
  <si>
    <t>COPIAPO</t>
  </si>
  <si>
    <t>A</t>
  </si>
  <si>
    <t>Construcción Pista de Atletismo Copiapó</t>
  </si>
  <si>
    <t>Reposición Cesfam Bernardo Mellibovsky</t>
  </si>
  <si>
    <t>DISEÑO</t>
  </si>
  <si>
    <t>Mejoramiento Sist. Radiocomunicación Parques Nacionales Atacama</t>
  </si>
  <si>
    <t>INTERCOMUNAL</t>
  </si>
  <si>
    <t>Reposición Paseo Arturo Prat, Chañaral</t>
  </si>
  <si>
    <t>CHAÑARAL</t>
  </si>
  <si>
    <t>Construcción Polideportivo El Tránsito Alto del Carmen</t>
  </si>
  <si>
    <t>ALTO DEL CARMEN</t>
  </si>
  <si>
    <t>Construcción Estadio Municipal de Huasco</t>
  </si>
  <si>
    <t>HUASCO</t>
  </si>
  <si>
    <t>Ampliación y Adecuaciones Biblioteca Municipal de Caldera</t>
  </si>
  <si>
    <t>CALDERA</t>
  </si>
  <si>
    <t>Construcción Piscina Temperada de la Comuna de Copiapó</t>
  </si>
  <si>
    <t>N</t>
  </si>
  <si>
    <t>Mejoramiento Borde Costero Playa Brava y del Jefe, Caldera</t>
  </si>
  <si>
    <t>Reposición Hospital Comunitario de Huasco</t>
  </si>
  <si>
    <t>Conservación de Caminos Básicos, 2016 - 2018, Provincia de Chañaral</t>
  </si>
  <si>
    <t>PROVINCIA CHAÑARAL</t>
  </si>
  <si>
    <t>Conservación de Caminos Básicos, 2016 - 2019, Provincia de Copiapó</t>
  </si>
  <si>
    <t>PROVINCIA COPIAPO</t>
  </si>
  <si>
    <t>Conservación de Caminos Básicos, 2016 - 2019, Provincia de Huasco</t>
  </si>
  <si>
    <t>PROVINCIA HUASCO</t>
  </si>
  <si>
    <t>Reposición Hospital Comunitario Diego de Almagro</t>
  </si>
  <si>
    <t>DIEGO DE ALMAGRO</t>
  </si>
  <si>
    <t>Construcción Casetas Sanit y Sist. Alcant La Arena, Comuna de Huasco</t>
  </si>
  <si>
    <t>Construcción Soluciones Sanit y Obras Complementarias Carrizal Bajo</t>
  </si>
  <si>
    <t>Construcción Soluciones Sanitarias Localidad de Incahuasi, Vallenar</t>
  </si>
  <si>
    <t>VALLENAR</t>
  </si>
  <si>
    <t>Reparación Estadio Techado Orlando Guaita, Copiapó</t>
  </si>
  <si>
    <t>Reposición Cierre Perimetral Estadio Eladio Rojas Tierra Amarilla</t>
  </si>
  <si>
    <t>TIERRA AMARILLA</t>
  </si>
  <si>
    <t>Reposición Pav. Pob. José Miguel Carrera, Diego de Almagro</t>
  </si>
  <si>
    <t>Reposición Biblioteca Pública, Chañaral</t>
  </si>
  <si>
    <t>Construcción Museo Regional de Atacama, Copiapó</t>
  </si>
  <si>
    <t>REGIONAL</t>
  </si>
  <si>
    <t>Reposición Infraestructura de Semáforos Copiapó</t>
  </si>
  <si>
    <t>Construcción Parque Recreativo Huasco Bajo, Huasco</t>
  </si>
  <si>
    <t>Construcción Subcomisaría Pedro León Gallo, Copiapó</t>
  </si>
  <si>
    <t>Conservación Centro Cultural Copiapó</t>
  </si>
  <si>
    <t>Reposición Edificio Consistorial Tierra Amarilla</t>
  </si>
  <si>
    <t>Mejoramiento Borde Costero Huasco</t>
  </si>
  <si>
    <t>Normalización Posta Rural Localidad Carrizalillo, Freirina</t>
  </si>
  <si>
    <t>FREIRINA</t>
  </si>
  <si>
    <t>Construcción Centro de Almacenaje y Emergencias, Alto Del Carmen</t>
  </si>
  <si>
    <t>Reposición Escalinatas Altiplano Norte, II Etapa, Vallenar</t>
  </si>
  <si>
    <t>Construcción Parque Río de Oro, Población Canto de Agua, Huasco</t>
  </si>
  <si>
    <t>Mejoramiento Parque El Pretil I Etapa, Copiapó</t>
  </si>
  <si>
    <t xml:space="preserve">Reposición Plaza Ignacio Carrera Pinto </t>
  </si>
  <si>
    <t>Mejoramiento Puente Amolanas En Ruta C-447, Comuna De Tierra Amarilla 4</t>
  </si>
  <si>
    <t>Mejoramiento Puente Tirado, Localidad De Pabellón, Comuna De Tierra Amarilla</t>
  </si>
  <si>
    <t>Conservación Caminos Básicos Región de Atacama 2019-2020</t>
  </si>
  <si>
    <t>Conservación Ruta Costera C-10, Sector: Caldera - Barranquilla</t>
  </si>
  <si>
    <t>Conservación Caminos Básicos Región de Atacama 2019-2020, Provincia de Chañaral</t>
  </si>
  <si>
    <t>Reposición Infraestructura Portuaria Caleta Chañaral de Aceituno, Freirina</t>
  </si>
  <si>
    <t>Reposición Alumbrado Comuna de Diego de Almagro</t>
  </si>
  <si>
    <t>Construcción Relleno Sanitario de Diego de Almagro</t>
  </si>
  <si>
    <t>Construcción Muros de Contención, Area Comercial Calle Pedro Luján, El Salado, Chañaral</t>
  </si>
  <si>
    <t>Mejoramiento Plaza Manutara, Sector Aeropuerto, Chañaral</t>
  </si>
  <si>
    <t>Mejoramiento Plaza Aeropuerto, Chañaral</t>
  </si>
  <si>
    <t>Mejoramiento Cancha de Fútbol, La Pampa, Alto del Carmen</t>
  </si>
  <si>
    <t>Construcción Puente y Accesos, Localidad de Los Loros, Comuna de Freirina</t>
  </si>
  <si>
    <t>Mejoramiento Taludes Avenida Los Canales, Vallenar</t>
  </si>
  <si>
    <t>Reposición Plaza Nueva Esperanza Pob. Portal del Inca, Diego de Almagro</t>
  </si>
  <si>
    <t>Reposición Plaza María Cangana, Diego de Almagro</t>
  </si>
  <si>
    <t>Reposición Capilla y Comedor Social San Lorenzo, El Salado, Chañaral</t>
  </si>
  <si>
    <t>Restauración Villa Viña de Cristo, Copiapó</t>
  </si>
  <si>
    <t>Mejoramiento Cancha de Fútbol Chanchoquin Grande Alto del Carmen</t>
  </si>
  <si>
    <t>Construcción Espacio Público Mirador Cerro La Cruz, Estación Paipote Copiapó</t>
  </si>
  <si>
    <t>Conservación Calles y Vías II Etapa, Copiapó</t>
  </si>
  <si>
    <t>Reposición Sede Social José Miguel Carrera, Diego de Almagro</t>
  </si>
  <si>
    <t>Reposición Sede Social Villa Potrerillos, Diego de Almagro</t>
  </si>
  <si>
    <t>Reposición Sede Vecinal José Santos Ossa, Comuna de Freirina</t>
  </si>
  <si>
    <t>Mejoramiento Eje Cívico Río de Janeiro, Freirina</t>
  </si>
  <si>
    <t>Reposición Carpeta de Fútbol Estadio Huasco Bajo Sur</t>
  </si>
  <si>
    <t>Conservación Escuelas y Liceos Provincia del Huasco</t>
  </si>
  <si>
    <t>Instalación Semáforos en Intersección Jorge Rivera Con Dagoberto Godoy,Aeropuerto, Chañaral</t>
  </si>
  <si>
    <t>Reposición Skate Park Paseo Ribereño, vallenar</t>
  </si>
  <si>
    <t>Construcción Plaza Corazón, Chañaral</t>
  </si>
  <si>
    <t>Conservación Escuelas y Liceos Copiapó</t>
  </si>
  <si>
    <t>Construción Cancha de Fútbol y Camarines, Las Tablas, Freirina</t>
  </si>
  <si>
    <t>Reposición Pavimentos Calle Lastaria, Diego de Almagro</t>
  </si>
  <si>
    <t>Construcción Polideportivo, Comuna de Tierra Amarilla</t>
  </si>
  <si>
    <t>Construcción Electrificación Llanos del Lagarto Comuna de Huasco</t>
  </si>
  <si>
    <t>Construcción Soluciones Sanitaria Localidad de Cachiyuyo, Vallenar</t>
  </si>
  <si>
    <t>Construcción Centro Oncológico de la Región de Atacama</t>
  </si>
  <si>
    <t>05</t>
  </si>
  <si>
    <t>ANDACOLLO</t>
  </si>
  <si>
    <t>COQUIMBO</t>
  </si>
  <si>
    <t>Ejecución</t>
  </si>
  <si>
    <t>CONSTRUCCIÓN ELECTRIFICACIÓN LOCALIDAD RURAL LA CORTADERA, ANDACOLLO</t>
  </si>
  <si>
    <t>30150774-0</t>
  </si>
  <si>
    <t>MONTE PATRIA</t>
  </si>
  <si>
    <t>Factibilidad</t>
  </si>
  <si>
    <t>CONSTRUCCIÓN P.T.A.S.Y RED ALCANTARILLADO EL TOMÉ, COMUNA MONTE PATRIA</t>
  </si>
  <si>
    <t>30484184-0</t>
  </si>
  <si>
    <t>CONSTRUCCIÓN P.T.A.S.Y RED ALCANTARILLADO DE RAPEL, COMUNA MONTE PATRIA</t>
  </si>
  <si>
    <t>30484187-0</t>
  </si>
  <si>
    <t>CONSTRUCCIÓN P.T.A.S Y RED DE ALCANTARILLADO DE CAREN, COMUNA DE MONTE PATRIA</t>
  </si>
  <si>
    <t>30484185-0</t>
  </si>
  <si>
    <t>LOS VILOS</t>
  </si>
  <si>
    <t>CONSTRUCCIÓN CASA DE LA CULTURA, LOS VILOS</t>
  </si>
  <si>
    <t>30078529-0</t>
  </si>
  <si>
    <t>ILLAPEL</t>
  </si>
  <si>
    <t>REPOSICIÓN POSTA DE SALUD RURAL HUINTIL, COMUNA DE ILLAPEL</t>
  </si>
  <si>
    <t>40016415-0</t>
  </si>
  <si>
    <t>REPOSICIÓN JARDÍN NFANTIL MI PEQUEÑO TESORO ILLAPEL, COMUNA DE ILLAPEL</t>
  </si>
  <si>
    <t>40015360-0</t>
  </si>
  <si>
    <t>PROV.ELQUI</t>
  </si>
  <si>
    <t>Prefactibilidad</t>
  </si>
  <si>
    <t>CONSTRUCCIÓN INTERCONEXIÓN VIAL RUTA 41 CH - BORDE COSTERO.PROV.ELQUI</t>
  </si>
  <si>
    <t>30485976-0</t>
  </si>
  <si>
    <t>COQUIMBO-LA SERENA</t>
  </si>
  <si>
    <t>DIAGNÓSTICO TRANSPORTE PÚBLICO CONURBACIÓN COQUIMBO-LA SERENA</t>
  </si>
  <si>
    <t>40000508-0</t>
  </si>
  <si>
    <t>04</t>
  </si>
  <si>
    <t>CANELA</t>
  </si>
  <si>
    <t>CONSTRUCCIÓN INFR.PESQUERA CALETA  HUENTELAUQUEN, CANELA</t>
  </si>
  <si>
    <t>30098095-0</t>
  </si>
  <si>
    <t>01</t>
  </si>
  <si>
    <t>COMBARBALA</t>
  </si>
  <si>
    <t>CONSTRUCCIÓN CASA DE ACOGIDA DE COMBARBALÁ - COMBARBALÁ</t>
  </si>
  <si>
    <t>30077750-0</t>
  </si>
  <si>
    <t>SALAMANCA</t>
  </si>
  <si>
    <t>CONSTRUCCIÓN ELECTRIFICACIÓN RURAL, VALLE DE CAMISAS, SALAMANCA</t>
  </si>
  <si>
    <t>30100544-0</t>
  </si>
  <si>
    <t>CONSTRUCCIÓN TECHADO MULTICANCHA COLEGIO NUESTRA SEÑORA DEL ROSARIO, ANDACOLLO</t>
  </si>
  <si>
    <t>30124206-0</t>
  </si>
  <si>
    <t>MEJORAMIENTO CALLE MUNDO NUEVO, COMUNA DE SALAMANCA</t>
  </si>
  <si>
    <t>30139673-0</t>
  </si>
  <si>
    <t>CONSTRUCCIÓN MACRO DEPÓSITO ARQUEOLÓGICO REGIONAL, REGIÓN DE COQUIMBO</t>
  </si>
  <si>
    <t>40003078-0</t>
  </si>
  <si>
    <t>OVALLLE</t>
  </si>
  <si>
    <t>REPOSICIÓN ESCUELA BÁSICA EL CRISOL, OVALLE</t>
  </si>
  <si>
    <t>30109834-0</t>
  </si>
  <si>
    <t>Diseño</t>
  </si>
  <si>
    <t>REPOSICIÓN POSTA SALUD RURAL DE LLIMPO, COMUNA DE SALAMANCA</t>
  </si>
  <si>
    <t>30139872-0</t>
  </si>
  <si>
    <t>REPOSICIÓN CUARTEL BICRIM OVALLE</t>
  </si>
  <si>
    <t>30375950-0</t>
  </si>
  <si>
    <t>LA HIGUERA</t>
  </si>
  <si>
    <t>CONSERVACIÓN CBC RUTA D-190, S. CRUCE RUTA 5 - CHUNGUNGO, TRAMO 1, COMUNA LA HIGUERA</t>
  </si>
  <si>
    <t>40009903-0</t>
  </si>
  <si>
    <t>LA SERENA</t>
  </si>
  <si>
    <t>CONSTRUCCIÓN VÍAS DE EVACUACIÓN ZONA COSTERA LA SERENA COQUIMBO</t>
  </si>
  <si>
    <t>30106198-0</t>
  </si>
  <si>
    <t>CONSTRUCCIÓN CENTRO DE DIALISIS LOS VILOS</t>
  </si>
  <si>
    <t>40010119-0</t>
  </si>
  <si>
    <t>REPOSICIÓN POSTA DE TAHUINCO, COMUNA DE SALAMANCA</t>
  </si>
  <si>
    <t>30479844-0</t>
  </si>
  <si>
    <t>CONSTRUCCIÓN PASEO PEATONAL QUEBRADA EL CONSUELO, COMUNA DE SALMANCA</t>
  </si>
  <si>
    <t>30275183-0</t>
  </si>
  <si>
    <t>REPOSICIÓN POSTA DE SALUD RURAL CUNCUMEN, COMUNA DE SALAMANCA</t>
  </si>
  <si>
    <t>30139823-0</t>
  </si>
  <si>
    <t>CONSTRUCCIÓN ESTADIO MUNICIPAL DE CANELA</t>
  </si>
  <si>
    <t>30086926-0</t>
  </si>
  <si>
    <t>REPOSICIÓN RESIDENCIA DISCAPACIDAD SENAME COQUIMBO</t>
  </si>
  <si>
    <t>30149176-0</t>
  </si>
  <si>
    <t>PUNITAQUI</t>
  </si>
  <si>
    <t>REPOSICIÓN PLAZA VILLA LOS LAGOS LOCALIDAD LAS RAMADAS PUNITAQUI</t>
  </si>
  <si>
    <t>30109398-0</t>
  </si>
  <si>
    <t>RIO HURTADO</t>
  </si>
  <si>
    <t>MEJORAMIENTO MULTICANCHA FUNDINA, RÍO HURTADO</t>
  </si>
  <si>
    <t>30473496-0</t>
  </si>
  <si>
    <t>MEJORAMIENTO COMPLEJO DEPORTIVO DE PICHASCA, RIO HURTADO</t>
  </si>
  <si>
    <t>30150676-0</t>
  </si>
  <si>
    <t>CONSTRUCCIÓN ESTRUCTURA TECHADA VARIOS ESTABLECIMIENTOS EDUCACIONALES, MONTE PATRIA</t>
  </si>
  <si>
    <t>40006948-0</t>
  </si>
  <si>
    <t>CONSTRUCCIÓN POLIDEPORTIVO CIUDAD DE MONTE PATRIA, MONTE PATRIA</t>
  </si>
  <si>
    <t>40006947-0</t>
  </si>
  <si>
    <t>REPOSICIÓN RETÉN DE CARABINEROS CHAÑARAL ALTO, MONTE PATRIA.</t>
  </si>
  <si>
    <t>30081585-0</t>
  </si>
  <si>
    <t>HABILITACIÓN CENTRO DE EXTENSIÓN CULTURAL PARA EL PATRIMONIO, COMUNA DE LA SERENA</t>
  </si>
  <si>
    <t>30483251-0</t>
  </si>
  <si>
    <t>MEJORAMIENTO CALLE CAUPOLICÁN, SECTOR CENTRO CÍVICO, PUNITAQUI</t>
  </si>
  <si>
    <t>30037147-0</t>
  </si>
  <si>
    <t>CONSTRUCCIÓN CANCHA SINTÉTICA COMPLEJO DEPORTIVO LAS ROSAS, COQIMBO</t>
  </si>
  <si>
    <t>30477535-0</t>
  </si>
  <si>
    <t>OVALLE</t>
  </si>
  <si>
    <t>CONSERVACIÓN CBC RUTA D-540, S.PUNILLA - FRAY JORGE, COMUNA DE OVALLE, REGIÓN DE COQUIMBO</t>
  </si>
  <si>
    <t>40007666-0</t>
  </si>
  <si>
    <t>CONSERVACIÓN CBC RUTA D-510, SECTOR HUAYANAY - EL TANGUE, COMUNA DE COQUIMBO</t>
  </si>
  <si>
    <t>40007564-0</t>
  </si>
  <si>
    <t>CONSTRUCCIÓN CENTRO DE ESTIMULACIÓN TEMPRANA PARA NIÑOS CON SINDROME DE DOWN, LA SERENA</t>
  </si>
  <si>
    <t>40013536-0</t>
  </si>
  <si>
    <t>PAIHUANO</t>
  </si>
  <si>
    <t>REPOSICIÓN POSTA DE SALUD PISCO ELQUI, PAIHUANO</t>
  </si>
  <si>
    <t>30369072-0</t>
  </si>
  <si>
    <t>REPOSICIÓN POSTA DE SALUD RURAL CALETA LOS HORNOS, LA HIGUERA</t>
  </si>
  <si>
    <t>30176022-0</t>
  </si>
  <si>
    <t>COMBARBALÁ</t>
  </si>
  <si>
    <t>REPOSICIÓN ESTADIO MUNICIPAL DE COMBARBNALÁ</t>
  </si>
  <si>
    <t>30293822-0</t>
  </si>
  <si>
    <t>CONSTRUCCIÓN CUARTEL DE BOMBEROS CUARTA COMPAÑÍA, OVALLE</t>
  </si>
  <si>
    <t>30484182-0</t>
  </si>
  <si>
    <t>CONSTRUCCIÓN EDIFICIO CONSISTORIAL MUNICIPALIDAD DE LOS VILOS</t>
  </si>
  <si>
    <t>30073178-0</t>
  </si>
  <si>
    <t>REPOSICIÓN COLEGIO YUNGAY DE EDUCACIÓN ESPECIAL, OVALLE</t>
  </si>
  <si>
    <t>30109832-0</t>
  </si>
  <si>
    <t>REPOSICIÓN CUARTEL 1° COMPAÑÍA DE BOMBEROS, SINDEMPART, COQUIMBO</t>
  </si>
  <si>
    <t>30484211-0</t>
  </si>
  <si>
    <t>CONSTRUCCIÓN URBANIZACIÓN BÁSICA LOCALIDAD DE ALTOVALSOL, COMUNA DE LA SERENA</t>
  </si>
  <si>
    <t>30431172-0</t>
  </si>
  <si>
    <t>MEJORAMIENTO CAMINO ILLAPEL - CUZ CUZ, COMUNA DE ILLAPEL</t>
  </si>
  <si>
    <t>40003225-0</t>
  </si>
  <si>
    <t>RÍO HURTADO</t>
  </si>
  <si>
    <t>CONSTRUCCIÓN CUBIERTA AREA DE EJERCICIOS Y EQUIPAMIENTO PARA RECREACIÓN COLEGIO PICHASCA</t>
  </si>
  <si>
    <t>30409422-0</t>
  </si>
  <si>
    <t>CONSERVACIÓN PAVIMENTOS AÑO 2017, REGIÓN DE COQUIMBO</t>
  </si>
  <si>
    <t>30484216-0</t>
  </si>
  <si>
    <t>MEJORAMIENTO ESPACIO PÚBLICO SECTOR ALTO ILLAPEL, COMUNA DE ILLAPEL</t>
  </si>
  <si>
    <t>30484157-0</t>
  </si>
  <si>
    <t>REPOSICIÓN HOGAR MASCULINO, PUNITAQUI</t>
  </si>
  <si>
    <t>30100599-0</t>
  </si>
  <si>
    <t>MEJORAMIENTO EDIFICIO CONSISTORIAL, OVALLE</t>
  </si>
  <si>
    <t>30064663-0</t>
  </si>
  <si>
    <t>REPOSICIÓN INSTITUTO DE REHABILITACIÓN, TELETÓN, DE COQUIMBO</t>
  </si>
  <si>
    <t>30486418-0</t>
  </si>
  <si>
    <t>REPÓSICIÓN CUARTEL DE BOMBEROS DE CERRILLOS DE TAMAYA, OVALLE</t>
  </si>
  <si>
    <t>30109787-0</t>
  </si>
  <si>
    <t>REPOSICIÓN CUARTEL BICRIM COQUIMBO</t>
  </si>
  <si>
    <t>30100263-0</t>
  </si>
  <si>
    <t>CONSTRUCCIÓN COMPLEJO DEPORTIVO Y OBRAS COMPLEMENTARIAS - VEGAS SUR</t>
  </si>
  <si>
    <t>30108069-0</t>
  </si>
  <si>
    <t>CONSTRUCCIÓN PASEO MIRADOR LARRAÍN ALCALDE, COMUNA DE LA SERENA</t>
  </si>
  <si>
    <t>30131804-0</t>
  </si>
  <si>
    <t>RESTAURACIÓN MONUMENTO HISTÓRICO CASA PIÑERA, LA SERENA</t>
  </si>
  <si>
    <t>30481995-0</t>
  </si>
  <si>
    <t>AMPLIACIÓN SERVICIO MÉDICO LEGAL DE LA SERENA</t>
  </si>
  <si>
    <t>30109140-0</t>
  </si>
  <si>
    <t>MEJORAMIENTO ESTADIO MUNICIPAL DE PAIHUANO</t>
  </si>
  <si>
    <t>40007901-0</t>
  </si>
  <si>
    <t>CONSTRUCCIÓN ESTADIO EL PUEBLO DE CHAÑARAL ALTO, MONTE PATRIA</t>
  </si>
  <si>
    <t>40011860-0</t>
  </si>
  <si>
    <t>RESTAURACIÓN CASA GABRIELA MISTRAL EN LAS COMPAÑÍAS, LA SERENA</t>
  </si>
  <si>
    <t>30076274-0</t>
  </si>
  <si>
    <t>REPOSICIÓN CES FAMILIAR, RÍO HURTADO</t>
  </si>
  <si>
    <t>30044384-0</t>
  </si>
  <si>
    <t>CONSTRUCCIÓN INFR.PESQUERA CALETA PUERTO MANSO, CANELA</t>
  </si>
  <si>
    <t>30098093-0</t>
  </si>
  <si>
    <t>CONSTRUCCIÓN III CESFAM URBANO OVALLE</t>
  </si>
  <si>
    <t>30045318-0</t>
  </si>
  <si>
    <t>CONSTRUCCIÓN CESFAM II EN SECTOR TIERRAS BLANCAS, COQUIMBO</t>
  </si>
  <si>
    <t>30066098-0</t>
  </si>
  <si>
    <t>REPOSICIÓN CONSULTORIO GENERAL URBANO DE SAN JUAN</t>
  </si>
  <si>
    <t>30001032-0</t>
  </si>
  <si>
    <t>REPOSICIÓN CENTRO COMUNITARIO DE REHABILITACIÓN, COMUNA DE MONTE PATRIA</t>
  </si>
  <si>
    <t>40006352-0</t>
  </si>
  <si>
    <t>HABILITACIÓN CASA DE LA MEMORIA COMUNA DE COQUIMBO</t>
  </si>
  <si>
    <t>30097621-0</t>
  </si>
  <si>
    <t>REPOSICIÓN TENENCIA PAIHUANO COMUNA PAIHUANO</t>
  </si>
  <si>
    <t>30085388-0</t>
  </si>
  <si>
    <t>AMPLIACIÓN EDIFICIO CONSISTORIAL, ANDACOLLO</t>
  </si>
  <si>
    <t>30124513-0</t>
  </si>
  <si>
    <t>RESTAURACIÓN IGLESIA DE SOTAQUÍ, COMUNA DE OVALLE</t>
  </si>
  <si>
    <t>40003818-0</t>
  </si>
  <si>
    <t>NORMALIZACIÓN HOSPITAL DR HUMBERTO ELORZA CORTÉS, ILLAPEL</t>
  </si>
  <si>
    <t>30070093-0</t>
  </si>
  <si>
    <t>MEJORAMIENTO PLAZA SERGIO SILVA, LOS VILOS</t>
  </si>
  <si>
    <t>30483947-0</t>
  </si>
  <si>
    <t>Ejecucion</t>
  </si>
  <si>
    <t>REPOSICIÓN PLAZA DE ACCESO, LOS VILOS</t>
  </si>
  <si>
    <t>30460171-0</t>
  </si>
  <si>
    <t>HABILITACIÓN UNIDAD DE MEDICINA HIPERBÁRICA, HOSPITAL DE COQUIMBO</t>
  </si>
  <si>
    <t>40002659-0</t>
  </si>
  <si>
    <t>CONSTRUCCIÓN  PARQUE URBANO SECTOR EL BOSQUE, LOS VILOS</t>
  </si>
  <si>
    <t>30134340-0</t>
  </si>
  <si>
    <t>MEJORAMIENTO CALLE EL ESFUERZO DE PICHIDANGUI, COMUNA DE LOS VILOS</t>
  </si>
  <si>
    <t>30123628-0</t>
  </si>
  <si>
    <t>CONSTRUCCION EDIFICIO CONSISTORIAL DE COQUIMBO</t>
  </si>
  <si>
    <t>20169586-0</t>
  </si>
  <si>
    <t>LOS RÍOS</t>
  </si>
  <si>
    <t>RIO BUENO</t>
  </si>
  <si>
    <t>REPOSICION CUARTEL SEGUNDA COMPAÑÍA DE BOMBEROS DE RIO BUENO</t>
  </si>
  <si>
    <t>REPOSICION PUESTA EN VALOR CENTRO CULTURAL CASA FURNIEL RIO BUENO</t>
  </si>
  <si>
    <t>MEJORAMIENTO RECINTO DEPORTIVO ESTADIO MANTILHUE, COMUNA DE RIO BUENO</t>
  </si>
  <si>
    <t>LANCO</t>
  </si>
  <si>
    <t>REPOSICION CUARTEL DE BOMBEROS MALALHUE</t>
  </si>
  <si>
    <t>CONSTRUCCION INFRAESTRUCTURA SANITARIA LOCALIDAD DE VIVANCO, RIO BUENO</t>
  </si>
  <si>
    <t>LA UNION</t>
  </si>
  <si>
    <t>CONSTRUCCION INFRAESTRUCTURA SANITARIA DE PTO. NUEVO, LA UNION</t>
  </si>
  <si>
    <t>REPOSICION PRIMERA CIA. DE BOMBEROS DE CRUCERO COMUNA DE RIO BUENO</t>
  </si>
  <si>
    <t>MARIQUINA</t>
  </si>
  <si>
    <t>CONSTRUCCION ALCANTARILLADO Y P.T.A.S DE MEHUIN - MARIQUINA</t>
  </si>
  <si>
    <t>MEJORAMIENTO CANCHA SINTETICA Y ESTADIO DE CIRUELOS, COMUNA MARIQUINA</t>
  </si>
  <si>
    <t>CONSTRUCCION TORRE DE DETECCION - VIVIENDA DE TORREONES, LA UNION</t>
  </si>
  <si>
    <t>REPOSICION BRIGADA INCENDIOS FORESTALES SAN JOSE DE LA MARIQUINA</t>
  </si>
  <si>
    <t>LAGO RANCO</t>
  </si>
  <si>
    <t>CONSTRUCCION SANEAMIENTO SANITARIO SECTOR IGNAO, LAGO RANCO</t>
  </si>
  <si>
    <t>FUTRONO</t>
  </si>
  <si>
    <t>INSTALACION SISTEMA SOLAR AGUA CALIENTE SANITARIA INTERNADO LICEO RURAL LLIFEN, FUTRONO</t>
  </si>
  <si>
    <t>CORRAL</t>
  </si>
  <si>
    <t>CONSTRUCCION ELECTRIFICACION FOTOVOLTAICA LUMACO, CANCAGUAL, TRES CHIFLONES Y CADILLAL</t>
  </si>
  <si>
    <t>VALDIVIA</t>
  </si>
  <si>
    <t>MEJORAMIENTO CALLE LAS ZINNIAS-VALDIVIA</t>
  </si>
  <si>
    <t>ANALISIS PELIGROSO DE REMOCION EN MASA, REGION  DE LOS RIOS</t>
  </si>
  <si>
    <t>ANALISIS IMPLEMENTACION DE UNA PLATAFORMA LOGISTICA EN LA CIUDAD DE VALDIVIA</t>
  </si>
  <si>
    <t>CONSTRUCCION CENTRO ATENCION ESPECIALIDADES, HOSPITAL DE LA UNION</t>
  </si>
  <si>
    <t>REPOSICION CESFAM NIEBLA, VALDIVIA</t>
  </si>
  <si>
    <t>REPOSICION POSTA DE SALUD RURAL LOS ESTEROS, LA UNIÓN</t>
  </si>
  <si>
    <t>REPOSICION GIMNACIO LICEO VICENTE PEREZ ROSALES, RIO BUENO</t>
  </si>
  <si>
    <t>PANGUIPULLI</t>
  </si>
  <si>
    <t>CONSTRUCCION ESTADIO CONDOR PANGUIPULLI</t>
  </si>
  <si>
    <t>CONSTRUCCION CENTRO DE FERIAS PANGUIPULLI</t>
  </si>
  <si>
    <t>CONSTRUCCION INFRAESTRUCTURA SANITARIA NELTUME, PANGUIPULLI</t>
  </si>
  <si>
    <t>REPOSICION BIBLIOTECA MUNICIPAL SAN JOSE, COMUNA DE MARIQUINA</t>
  </si>
  <si>
    <t>CONSTRUCION TERMINAL DE BUSES SAN JOSE DE MARIQUINA</t>
  </si>
  <si>
    <t>MEJORAMIENTO CANCHA SINTETICA Y ESTADIO ANFA, COMUNA DE MARIQUINA</t>
  </si>
  <si>
    <t>PREFACTIBILIDAD</t>
  </si>
  <si>
    <t>CONSTRUCCION FERIA CENTRAL DE VALDIVA</t>
  </si>
  <si>
    <t>CONSTRUCCION CIRCUNVALACION VALDIVIA Y PTE. STA. ELVIRA</t>
  </si>
  <si>
    <t>CONSTRUCCION INFRAESTRUCTURA SANITARIA RIÑINAHUE - LAGO RANCO</t>
  </si>
  <si>
    <t>CONSTRUCCION INFRAESTRUCTURA SANITARIA CAUPOLICAN ALTO, LA UNION</t>
  </si>
  <si>
    <t>MEJORAMIENTO PAVIMENTACION AVENIDA COSTANERA, PANGUIPULLI</t>
  </si>
  <si>
    <t>RESTAURACION Y PUESTA EN VALOR TEATRO GALIA DE LANCO</t>
  </si>
  <si>
    <t>LOS LAGOS</t>
  </si>
  <si>
    <t>PREVENCION Y ATENCION A MUJERES VICTIMAS DE VIOLENCIA, LOS LAGOS</t>
  </si>
  <si>
    <t>CONSERVACION VIAS URBANAS REGION DE LOS RIOS_AÑO 2020</t>
  </si>
  <si>
    <t>REPOSICION POSTA SALUD RURRAL PUNUCAPA</t>
  </si>
  <si>
    <t>PAILLACO</t>
  </si>
  <si>
    <t>CONSTRUCCION CESFAN LAUTARO CARO RIOS, PAILLACO</t>
  </si>
  <si>
    <t>CONSTRUCCIÓN POSTA RURAL EL LLOLLY, PAILLACO</t>
  </si>
  <si>
    <t>INSTALACION DEL SERVICIO DE APR EN CALCURRUPE ALTO, COMUNA DE LAGO RANCO</t>
  </si>
  <si>
    <t>HABILITACION CASA DUHALDE PARA CENTRO CULTURAL COMUNA DE LA UNION</t>
  </si>
  <si>
    <t>CONSERVACION GIMNASIO FISCAL, COMUNA DE LA UNION</t>
  </si>
  <si>
    <t>REPOSICION COLEGIO JOSE MANUEL BALMACEDA</t>
  </si>
  <si>
    <t>AMPLIACION CEMENTERIO MUNICIPAL, PAILLACO</t>
  </si>
  <si>
    <t>CONSERVACION EDIFICACION PUBLICA - HOSPITAL DE PAILLACO</t>
  </si>
  <si>
    <t>CONSTRUCCION SANEAMIENTO SANITARIO DOMICILIARIO DE DIVERSOS SECTORES DE LA CIUDAD DE VALDIVIA</t>
  </si>
  <si>
    <t>CONSTRUCCION CENTRO INFORMACION AMBIENTAL Y CULTURAL CONAF, PUNUCAPA VALDIVIA</t>
  </si>
  <si>
    <t>MEJORAMIENTO PLAZA PEDRO DE VALDIVIA Y PLAZA CHILE, VALDIVIA</t>
  </si>
  <si>
    <t>CONSTRUCCION PLANTA REGIONAL DE RECICLAJE, LOS RIOS</t>
  </si>
  <si>
    <t>REPOSICION EDIFICIO CONSISTORIAL MUNICIPALIDAD DE MARIQUINA</t>
  </si>
  <si>
    <t>AMPLIACION Y MEJORAMIENTO SAPR DE PICHIRROPULLI, COMUNA DE PAILLACO</t>
  </si>
  <si>
    <t>CONSTRUCCION SISTEMA AUTOGENERACION ELECTRICO, QUITAQUI, VALDIVIA</t>
  </si>
  <si>
    <t>MEJORAMIENTO CANCHA DE FUTBOL COMPLEJO BICENTENARIO, RIO BUENO</t>
  </si>
  <si>
    <t>MAFIL</t>
  </si>
  <si>
    <t>REPOSICION ESTADIO MUNICIPAL LOS AROMOS, MAFIL</t>
  </si>
  <si>
    <t>NORMALIZACION SISTEMA TRATAMIENTO AGUAS SERVIDAS DE MALALHUE, LANCO</t>
  </si>
  <si>
    <t>CONSTRUCCION POLIDEPORTIVO, PAILLACO</t>
  </si>
  <si>
    <t>CONSTRUCCION ESTADIO NIEBLA, VALDIVIA</t>
  </si>
  <si>
    <t>REPOSICION CUARTEL DE BOMBEROS DE CURRIÑE COMUNA DE FUTRONO</t>
  </si>
  <si>
    <t>REPOSICION POSTA ISLA HUAPI COMUNA FUTRONO</t>
  </si>
  <si>
    <t>CONSTRUCCION CENTRO RECREATIVO PARA EL ADULTO MAYOR, VALDIVIA</t>
  </si>
  <si>
    <t>MEJORAMIENTO AV. BALMACEDA, ENTRE CALLES CHORRILLOS Y FRAY BENITO DELGADO, RIO BUENO</t>
  </si>
  <si>
    <t>CONSTRUCCION FERIA COSTUMBRISTA, COMUNA DE LAGO RANCO</t>
  </si>
  <si>
    <t>CONSTRUCCION SERVICIO DE APR DE LOS PELLINES, VALDIVIA</t>
  </si>
  <si>
    <t>RESTAURACION Y PUESTA EN VALOR TORREONES DE FORTIFICACION VALDIVIA</t>
  </si>
  <si>
    <t>RESTAURACION Y MUSEOGRAFIA CASA ANWANDTER VALDIVIA</t>
  </si>
  <si>
    <t>RESTAURACION ADQUISICION CASTILLO DE SAN LUIS DE ALBA, MARIQUINA</t>
  </si>
  <si>
    <t>RESTAURACION Y AMPLIACION DEL MUSEO DE ARTE CONTEMPORANEO VALDIVIA</t>
  </si>
  <si>
    <t>CONSTRUCCION POSTA DE SALUD RURRAL CHAIHUIN</t>
  </si>
  <si>
    <t>REPOSICION DE POSTA SALUD RURAL ISLA DEL REY</t>
  </si>
  <si>
    <t>REPOSICION POSTA RURAL RIÑIHUE, LOS LAGOS</t>
  </si>
  <si>
    <t>CONSTRUCCION EMBARCADEROS MENORES DE ISLA DEL REY COMUNA DE CORRAL</t>
  </si>
  <si>
    <t>CONSTRUCCION EMBARCADERO PISHUINCO, COMUNA DE VALDIVIA</t>
  </si>
  <si>
    <t>CONSTRUCCION TERMINAL DE BUSES, COMUNA DE FUTRONO</t>
  </si>
  <si>
    <t>CONSTRUCCION TERMINAL DE BUSES DE LAGO RANCO</t>
  </si>
  <si>
    <t>CONSTRUCCION SERVICIO APR FOLLECO, LA UNION</t>
  </si>
  <si>
    <t>REPOSICION BIBLIOTECA MUNICIPAL DE MAFIL</t>
  </si>
  <si>
    <t>REPOSICION PABELLON PREBASICA ESCUELA PROYECTO DE FUTURO, PAILLACO</t>
  </si>
  <si>
    <t>REPOSICION HOSPITAL DE RIO BUENO</t>
  </si>
  <si>
    <t>REPOSICION PLAZA BERNARDO O´HIGGINS COMUNA DE LAGO RANCO</t>
  </si>
  <si>
    <t>REPOSICION CALLE PEDRO LAGOS, COMUNA DE RIO BUENO</t>
  </si>
  <si>
    <t>REPOSICION CALLE COMERCIO RIO BUENO</t>
  </si>
  <si>
    <t>MEJORAMIENTO CALLE LOS CIPRESES FUTRONO</t>
  </si>
  <si>
    <t>MEJORAMIENTO Y AMPLIACION SISTEMA DE APR PUERTO NUEVO, LA UNION</t>
  </si>
  <si>
    <t>REPOSICION EDIFICIO CONSISTORIAL DE LANCO</t>
  </si>
  <si>
    <t>MEJORAMIENTO CALLE LAS ROSAS DE MALALHUE, LANCO</t>
  </si>
  <si>
    <t>HABILITACION ESTACION COLLILELFU, LOS LAGOS</t>
  </si>
  <si>
    <t>REPOSICION MURO Y FUERTE DE CORRAL</t>
  </si>
  <si>
    <t>CONSERVACION CBC RUTA 203 CH PUERTO PIREHUEICO - PASO HUAHUM</t>
  </si>
  <si>
    <t>REPOSICION POSTA DE ALEPUE, COMUNA DE MARIQUINA</t>
  </si>
  <si>
    <t>REPOSICION POSTA DE SALUD RURAL DE RUPUMEICA BAJO, LAGO RANCO</t>
  </si>
  <si>
    <t>CONSTRUCCION POSTA PUQUIÑE, COMUNA DE LANCO</t>
  </si>
  <si>
    <t>MEJORAMIENTO CALLE EL MOLINO, COMUNA DE LAGO RANCO</t>
  </si>
  <si>
    <t>REPOSICION MUSEO TRINGLO COMUNA DE LAGO RANCO</t>
  </si>
  <si>
    <t>CONSTRUCCION GIMNASIO LOCALIDAD DE RIÑINAHUE COMUNA DE LAGO RANCO</t>
  </si>
  <si>
    <t>MEJORAMIENTO CALLE MANUEL VARAS, MARIQUINA</t>
  </si>
  <si>
    <t>CONSTRUCCION ESTADIO MUNICIPAL DE SANTA FILOMENA, PAILLACO</t>
  </si>
  <si>
    <t>MEJORAMIENTO AVENIDA ECUADOR Y BALMACEDA - VALDIVIA</t>
  </si>
  <si>
    <t>CONSTRUCCION SEDE SOCIAL INDIGENA COMUNA DE LA UNION</t>
  </si>
  <si>
    <t>CONSTRUCCION GIMNASIO COMUNITARIO NELTUME, COMUNA DE PANGUIPULLI</t>
  </si>
  <si>
    <t>CONSTRUCCION INFRAESTRUCTURA SANITARIA, PANGUIPULLI ALTO</t>
  </si>
  <si>
    <t>REPOSICION ESCUELA JOSE ARNOLDO BILBAO P. DE PELCHUQUIN, MARIQUINA</t>
  </si>
  <si>
    <t>REPOSICION TENECIA DE CARABINEROS SAN JOSE DE LA MARIQUINA</t>
  </si>
  <si>
    <t>MEJORAMIENTO GIMNASIO LICEO POLITECNICO PESQUERO DE MEHUIN, MARIQUINA</t>
  </si>
  <si>
    <t>CONSTRUCCION CANCHA SINTETICA ESTADIO MUNICIPAL DE LANCO</t>
  </si>
  <si>
    <t>REPOSICION ESCUELA FUSIONADA LOS LAGOS</t>
  </si>
  <si>
    <t>CONSTRUCCION ALCANTARILLADO DE ANTILHUE, LOS LAGOS</t>
  </si>
  <si>
    <t>MEJORAMIENTO CALETA DE PESCADORES LOS MOLINOS COMUNA DE VALDIVIA</t>
  </si>
  <si>
    <t>DIAGNOSTICO CONDICIONES NATURALES EN BORDES COSTEROS DE MAR Y RIOS, REGION DE LOS RIOS</t>
  </si>
  <si>
    <t>DIAGNOSTICO PLAN MAESTRO DE AGUAS LLUVIAS CIUDAD DE LA UNION Y RIO BUENO</t>
  </si>
  <si>
    <t>MEJORAMIENTO AV. EJERCITO ENTRE H. AVILA Y RUTA 28, ANTOFAGASTA</t>
  </si>
  <si>
    <t xml:space="preserve">ANTOFAGASTA </t>
  </si>
  <si>
    <t>ANTOFAGASTA</t>
  </si>
  <si>
    <t>NORMALIZACION HOSPITAL 21 DE MAYO DE TALTAL (PREFACTIBILIDAD)</t>
  </si>
  <si>
    <t>TALTAL</t>
  </si>
  <si>
    <t>NORMALIZACIÓN DEL HOSPITAL DE MEJILLONES (PREFACTIBILIDAD)</t>
  </si>
  <si>
    <t>MEJILLONES</t>
  </si>
  <si>
    <t>REPOSICION DIAMANTE DE BEISBOL TOCOPILLA</t>
  </si>
  <si>
    <t>TOCOPILLA</t>
  </si>
  <si>
    <t>CONSTRUCCION CUARTEL DE BOMBEROS Y AREAS VERDES ARTURO PEREZ</t>
  </si>
  <si>
    <t>REPOSICIÓN VIVERO MUNICIPAL, ANTOFAGASTA</t>
  </si>
  <si>
    <t>REPOSICION JARDIN INFANTIL DE TOCONAO COMUNA S.P.A.</t>
  </si>
  <si>
    <t>SAN PEDRO DE ATACAMA</t>
  </si>
  <si>
    <t>REPOSICION POSTA RURAL PEINE COMUNA DE SAN PEDRO DE ATACAMA</t>
  </si>
  <si>
    <t>REPOSICION POSTA TOCONAO, COMUNA SAN PEDRO DE ATACAMA</t>
  </si>
  <si>
    <t>CONSTRUCCION PARQUE COMUNITARIO RENE SCHNEIDER</t>
  </si>
  <si>
    <t>CONSTRUCCIÓN COMPLEJO DEPORTIVO ESCOLAR CORVALLIS</t>
  </si>
  <si>
    <t>CONSTRUCCION COMPLEJO DEPORTIVO ESCOLAR MUNICIPAL</t>
  </si>
  <si>
    <t>CONSTRUCCION MEMORIAL TOPATER CALAMA</t>
  </si>
  <si>
    <t>CALAMA</t>
  </si>
  <si>
    <t>MEJORAMIENTO PLAZA DE ARMAS DE MARIA ELENA</t>
  </si>
  <si>
    <t>MARIA ELENA</t>
  </si>
  <si>
    <t>CONSTRUCCION CUARTEL DE BOMBEROS Y EQUIP. ANEXOS, LAS PALMERAS</t>
  </si>
  <si>
    <t>AMPLIACION CEMENTERIO GENERAL DE ANTOFAGASTA</t>
  </si>
  <si>
    <t xml:space="preserve">CONSTRUCCION RELLENO SANITARIO, COMUNA DE SIERRA GORDA </t>
  </si>
  <si>
    <t>SIERRA GORDA</t>
  </si>
  <si>
    <t>MEJORAMIENTO DE LAS DEPENDENCIAS DE LA ASOCIACION DE MUNICPALIDADES</t>
  </si>
  <si>
    <t>AMPLIACION Y RELOCALIZACION PARVULO ESCUELA E-26 SAN PEDRO DE ATACAMA</t>
  </si>
  <si>
    <t>REPOSICION AVDA. TENIENTE MERINO DE CHORRILLOS A TENIENTE URIBE, TOCOPILLA</t>
  </si>
  <si>
    <t>CONSTRUCCION CONSULTORIO GENERAL RURAL. DE SIERRA GORDA</t>
  </si>
  <si>
    <t>CONSTRUCCION DISPOSITIVO DE SALUD SAN PEDRO DE ATACAMA</t>
  </si>
  <si>
    <t>NORMALIZACION CENTRO ONCOLOGICO AMBULATORIO DE ANTOFAGASTA (COA)</t>
  </si>
  <si>
    <t xml:space="preserve">CONSTRUCCION BODEGA FARMACIA CENTRO ATENCION DEL NORTE </t>
  </si>
  <si>
    <t>CONSTRUCCION CUBIERTAS LIVIANAS EN MULTICANCHAS, CALAMA</t>
  </si>
  <si>
    <t>CONSTRUCCION CENTRO DE SALUD, REHABILITACIÓN DROGAS CALAMA (DISEÑO)</t>
  </si>
  <si>
    <t>CONSTRUCCION UNIDAD DE APOYO DIAGNOSTICO MEDICINA NUCLEAR EN COA</t>
  </si>
  <si>
    <t>CONSTRUCCION PLAZAS BARRIO DIEGO PORTALES PROGAMA QUIERO MI BARRIO</t>
  </si>
  <si>
    <t>CONSERVACION SOMBREADEROS PLAZAS CALAMA</t>
  </si>
  <si>
    <t>REPOSICION UNIDAD DE SALUD MENTAL DEL HOSPITAL DE TALTAL</t>
  </si>
  <si>
    <t>CONSTRUCCION NUEVO CEMENTERIO MUNICIPAL, CALAMA</t>
  </si>
  <si>
    <t>ACTUALIZACION PLAN DE DESARROLLO COMUNAL COMUNA DE TOCOPILLA</t>
  </si>
  <si>
    <t>REPOSICION POSTA RURAL CALETA PAPOSO</t>
  </si>
  <si>
    <t>REPOSICION GIMNASIO OHIGGINS COMUNA DE TOCOPILLA</t>
  </si>
  <si>
    <t xml:space="preserve">HABILITACION INMUEBLES MONUMENTOS NACIONALES (TEATRO Y EX FFCC) COMUNA DE TATAL </t>
  </si>
  <si>
    <t>AMPLIACION AVDA. P.AGUIRRE CERDA TRAMO LOS TAMARUGOS-ROTONDA, ANTOFAGASTA</t>
  </si>
  <si>
    <t>RESTAURACION BASILICA CORAZON DE MARIA DE ANTOFAGASTA</t>
  </si>
  <si>
    <t>CONSTRUCCION OBRAS DE MITIGACION SECTOR VILLA CHICA ANTOFAGASTA</t>
  </si>
  <si>
    <t>CONSERVACION CAMINO BASICO RUTA1, S: PAPOSO-CALETA EL COBRE, TALTAL</t>
  </si>
  <si>
    <t>MEJORAMIENTO CALLE 1 ALTOS LA CHIMBA, ANTOFAGASTA</t>
  </si>
  <si>
    <t>REPOSICION CALLE JAIME GUZMAN, LOCALIDAD DE BAQUEDANO</t>
  </si>
  <si>
    <t>CONSERVACION VIALIDAD CALLES LUIS CRUZ MARTINEZ Y LOS LEONES, ANTOFAGASTA</t>
  </si>
  <si>
    <t>CONSTRUCCION OBRAS DE VIALIDAD CONEXIÓN TOPATER-EJE BALMACEDA CALAMA</t>
  </si>
  <si>
    <t>REPOSICION JARDIN INFANTIL COMUNA MARIA ELENA</t>
  </si>
  <si>
    <t>CONSTRUCCION PASEO PEATONAL INDEPENDENCIA CALAMA</t>
  </si>
  <si>
    <t>AMPLIACION RED DE AGUA POTABLE LA CHIMBA ALTA, ANTOFAGASTA</t>
  </si>
  <si>
    <t>CONSTRUCCION VIAS ALUVIONALES CALLES O'HIGGINS Y COLON, TOCOPILLA</t>
  </si>
  <si>
    <t>CONSERVACION CAMINO BASICO POR CONSERVACION, RUTA B-161</t>
  </si>
  <si>
    <t>31-01</t>
  </si>
  <si>
    <t>ACTUALIZACION PLAN REGULADOR COMUNA DE QUIRIHUE</t>
  </si>
  <si>
    <t>Ñuble</t>
  </si>
  <si>
    <t>Quirihue</t>
  </si>
  <si>
    <t>ACTUALIZACION PLAN DE DESARROLLO COMUNAL COMUNA DE NINHUE</t>
  </si>
  <si>
    <t>Ninhue</t>
  </si>
  <si>
    <t>31-02</t>
  </si>
  <si>
    <t>CONSTRUCCION HOGAR DE ANCIANOS COMUNA DE SAN IGNACIO</t>
  </si>
  <si>
    <t>San Ignacio</t>
  </si>
  <si>
    <t>REPOSICION GIMNASIO MUNICIPAL DE COIHUECO</t>
  </si>
  <si>
    <t>Coihueco</t>
  </si>
  <si>
    <t>REPOSICIÓN CENTRO DE SALUD FAMILIAR SAN FABIÁN DE ALICO</t>
  </si>
  <si>
    <t xml:space="preserve">San Fabián </t>
  </si>
  <si>
    <t xml:space="preserve">CONSTRUCCIÓN CUARTEL DE BOMBEROS, COMUNA DE SAN NICOLÁS </t>
  </si>
  <si>
    <t>San Nicolás</t>
  </si>
  <si>
    <t>CONSTRUCCION POLIDEPORTIVO MUNICIPAL SAN CARLOS</t>
  </si>
  <si>
    <t>Carlos</t>
  </si>
  <si>
    <t>REPOSICION PISTA BMX QUILAMAPU, CHILLÁN</t>
  </si>
  <si>
    <t>Chillán</t>
  </si>
  <si>
    <t>HABILITACION PLAZA Y FERIA LIBRE EMILIO BASTIAS, SAN CARLOS</t>
  </si>
  <si>
    <t>San Carlos</t>
  </si>
  <si>
    <t>MEJORAMIENTO PARQUE SARITA GAJARDO, CHILLÁN</t>
  </si>
  <si>
    <t>MEJORAMIENTO PLANTA DE TRATAMIENTO AGUAS SERVIDAS SAN NICOLAS</t>
  </si>
  <si>
    <t>San Nicolas</t>
  </si>
  <si>
    <t>CONSTRUCCION PUENTE Y CALZADA PONIENTE EN AV. BRASIL, CHILLAN</t>
  </si>
  <si>
    <t>REPOSICION DE CENTRO DE SALUD FAMILIAR (CESFAM) DE SAN GREGORIO, COMUNA ÑIQUEN</t>
  </si>
  <si>
    <t>Ñiquen</t>
  </si>
  <si>
    <t>MEJORAMIENTO CAMINOS BÁSICOS INTERMEDIOS CONEXIÓN RUTA N-335, N-447 A N-31, ÑUBLE</t>
  </si>
  <si>
    <t>Intercomunal</t>
  </si>
  <si>
    <t>MEJORAMIENTO CAMINO BÃSICO INTERMEDIO RUTA N-773 DEL KM 0.3 AL KM 23.4, ÑUBLE</t>
  </si>
  <si>
    <t>CONSTRUCCION CENDYR NAUTICO, QUILLÓN</t>
  </si>
  <si>
    <t>Quillón</t>
  </si>
  <si>
    <t>MEJORAMIENTO CANCHA DE FUTBOL Y GRADERIAS ESTADIO MUNICIPAL DE PORTEZUELO</t>
  </si>
  <si>
    <t>Portezuelo</t>
  </si>
  <si>
    <t>REPOSICION CUARTEL DE 2º COMPAÑIA DE BOMBEROS DE PINTO</t>
  </si>
  <si>
    <t>Pinto</t>
  </si>
  <si>
    <t>REPOSICION CENTRO DE SALUD FAMILIAR, COMUNA DE PINTO</t>
  </si>
  <si>
    <t>REPOSICIÓN COMPLEJO REGIÓN POLICIAL DE ÑUBLE - PDI</t>
  </si>
  <si>
    <t>CONSTRUCCION ESPACIOS PÚBLICOS INCLUSIVOS EN AVENIDA NUESTRA SEÑORA DEL ROSARIO, NINHUE</t>
  </si>
  <si>
    <t>MEJORAMIENTO CALLE SAN IGNACIO, COMUNA DE CHILLÁN</t>
  </si>
  <si>
    <t>CONSERVACION CAMINO A LAS MARIPOSAS</t>
  </si>
  <si>
    <t>Mariposas</t>
  </si>
  <si>
    <t>CONSERVACION PAVIMENTO AV. SEPULVEDA BUSTOS, CHILLAN</t>
  </si>
  <si>
    <t>CONSERVACION CAMINO BÁSICO SAN CARLOS – TRAPICHE - CRUCE N-730-M (POCILLAS)</t>
  </si>
  <si>
    <t>Regional</t>
  </si>
  <si>
    <t>REPOSICION TENENCIA DE CARABINEROS PINTO</t>
  </si>
  <si>
    <t>REPOSICION RETEN DE CARABINEROS CATO, COMUNA DE COIHUECO</t>
  </si>
  <si>
    <t>REPOSICION SUBCOMISARÍA HUAMBALÍ</t>
  </si>
  <si>
    <t>MEJORAMIENTO DIVERSAS CALLES VILLA PRIMAVERA I Y II, PUEBLO SECO, COMUNA DE SAN IGNACIO</t>
  </si>
  <si>
    <t>ACTUALIZACION PLAN DE DESARROLLO DE TURISMO, SAN FABIAN</t>
  </si>
  <si>
    <t>31005</t>
  </si>
  <si>
    <t>02</t>
  </si>
  <si>
    <t>ACTUALIZACION PLAN REGULADOR DE LA COMUNA DE YUNGAY</t>
  </si>
  <si>
    <t>Yungay</t>
  </si>
  <si>
    <t>ACTUALIZACION ESTUDIO ELABORACIÓN PLADETUR COMUNA DE PINTO</t>
  </si>
  <si>
    <t>ANALISIS PLAN DE DESARROLLO TURISTICO COMUNA DE NINHUE</t>
  </si>
  <si>
    <t>ANALISIS Y CARACTERIZACIÓN DEL ACUIFERO DE LA CUENCA DEL RIO ITATA</t>
  </si>
  <si>
    <t>ANALISIS Y DESARROLLO DEL PLAN MAESTRO DE GESTION DE TTO EN EL SECTOR ORIENTE DE CHILLÁN</t>
  </si>
  <si>
    <t>DIAGNOSTICO PLAN MAESTRO DE ÁREAS VERDES Y ARBORIZACIÓN, COMUNA DE CHILLÁN</t>
  </si>
  <si>
    <t>DIAGNOSTICO DISEÑO DE LA ARQUITECTURA DE LAS TIC PARA RED DE SALUD ÑUBLE</t>
  </si>
  <si>
    <t>REPOSICION CESFAM FEDERICO PUGA BORNE, CHILLAN VIEJO</t>
  </si>
  <si>
    <t>Chillán Viejo</t>
  </si>
  <si>
    <t>REPOSICION CON RELOCALIZACION CESFAM DE SANTA CLARA, BULNES</t>
  </si>
  <si>
    <t>Bulnes</t>
  </si>
  <si>
    <t>MEJORAMIENTO ACERAS SECTOR CENTRO, CHILLAN</t>
  </si>
  <si>
    <t xml:space="preserve">Chillán </t>
  </si>
  <si>
    <t>MEJORAMIENTO ACERAS AV. OHIGGINS COMUNA SAN NICOLAS</t>
  </si>
  <si>
    <t>REPOSICION LICEO A-17 COMUNA DE YUNGAY</t>
  </si>
  <si>
    <t xml:space="preserve"> Yungay</t>
  </si>
  <si>
    <t>MEJORAMIENTO APR CAPILLA COX, CHILLAN</t>
  </si>
  <si>
    <t>CONSTRUCCION APERTURA Y PAVIMENTACIÓN CALLE SCHLEYER, CHILLÁN</t>
  </si>
  <si>
    <t>REPOSICION CESFAM COMUNA DE PORTEZUELO</t>
  </si>
  <si>
    <t>NORMALIZACION ELECTRIFICACIÓN DOMIC. DIVERSOS SECTORES SAN CARLOS</t>
  </si>
  <si>
    <t> MEJORAMIENTO ESPACIO PUBLICO, BANDEJON CENTRAL AVENIDA COLLIN, CHILLAN</t>
  </si>
  <si>
    <t>MEJORAMIENTO CANCHA 16 DE JULIO SECTOR SANTA ELVIRA, EL CARMEN</t>
  </si>
  <si>
    <t>El Carmen</t>
  </si>
  <si>
    <t>CONSTRUCCION LABORATORIO REGIONAL SAG REGIÓN DE ÑUBLE</t>
  </si>
  <si>
    <t>CONSTRUCCION CENTRO COMUNITARIO DOÑA ROSA, CHILLAN</t>
  </si>
  <si>
    <t>Chillan</t>
  </si>
  <si>
    <t>CONSERVACION CAMINO BÁSICO CRUCE RUTA 5 (SAN GREGORIO) – ÑIQUEN - CRUCE - M-750 (SAN PEDRO)</t>
  </si>
  <si>
    <t>CONSERVACION CAMINO BÁSICO CRUCE N-643 (TRES ESQUINAS) - LOS MARCOS - CRUCE N-773 (LOS TILOS)</t>
  </si>
  <si>
    <t>CONSTRUCCION PARQUE INTERCOMUNAL ULTRAESTACIÓN, CHILLÁN</t>
  </si>
  <si>
    <t>CONSTRUCCION CEMENTERIO MUNICIPAL DE COIHUECO</t>
  </si>
  <si>
    <t>MEJORAMIENTO Y AMPLIACIÓN APR RINCONADA DE CATO, CHILLÁN</t>
  </si>
  <si>
    <t>HABILITACION CENTRO PENITENCIARIO FEMENINO DE BULNES</t>
  </si>
  <si>
    <t>CONSERVACION UNIDAD DE EMERGENCIA DEL HCHM</t>
  </si>
  <si>
    <t>CONSERVACION RUTA N-684, CRUCE RUTA 5 (LOS COLIHUES)- PELEHUITO</t>
  </si>
  <si>
    <t>CONSERVACION RUTA N-884, CRUCE RUTA 5 (SANTA CLARA) -PUENTE PAL PAL- BALSA CERRO NEGRO</t>
  </si>
  <si>
    <t>CONSERVACION RUTA N-70-M CAUQUENES – TORRECILLAS – SAN CARLOS, COMUNA DE SAN CARLOS</t>
  </si>
  <si>
    <t> 40014260</t>
  </si>
  <si>
    <t>CONSTRUCCION PUENTE SARGENTO ALDEA, COMUNA DE COIHUECO</t>
  </si>
  <si>
    <t>40019524</t>
  </si>
  <si>
    <t>CONSTRUCCION INFRAESTRUCTURA BRIGADA HELITRANSPORTADA, AERÓDROMO
BERNARDO O´HIGGINS, CHILLÁN</t>
  </si>
  <si>
    <t>SANTA CRUZ</t>
  </si>
  <si>
    <t>OHIGGINS</t>
  </si>
  <si>
    <t>EJECUCIÓN</t>
  </si>
  <si>
    <t>CONSTRUCCIÓN POLIDEPORTIVO CENTRO ELIGE VIVIR SANO, COMUNA SANTA CRUZ</t>
  </si>
  <si>
    <t>RANCAGUA</t>
  </si>
  <si>
    <t>CONSTRUCCIÓN PISCINA CENTRO ELIGE VIVIR SANO, COMUNA RANCAGUA</t>
  </si>
  <si>
    <t>CODEGUA</t>
  </si>
  <si>
    <t>MEJORAMIENTO PAVIMENTO CALLE ESTANCILLA, COMUNA DE CODEGUA</t>
  </si>
  <si>
    <t>CONSERVACION VÍAS URBANAS PROCESO 2017 (EJECUCIÓN 2021)</t>
  </si>
  <si>
    <t>MACHALI</t>
  </si>
  <si>
    <t>REPOSICION Y RELOCALIZACION DEL CUARTEL 3ª CIA DE BOMBEROS DE MACHALI</t>
  </si>
  <si>
    <t>REPOSICIÒN 8VA COMPAÑÍA DE BOMBEROS, RANCAGUA</t>
  </si>
  <si>
    <t>MARCHIGUE</t>
  </si>
  <si>
    <t>REPOSICION DEL ALUMBRADO PUBLICO RURAL, COMUNA DE MARCHIGUE</t>
  </si>
  <si>
    <t>MEJORAMIENTO DE ACERAS CASCO HISTÓRICO URBANO, COMUNA DE MACHALI</t>
  </si>
  <si>
    <t>LAS CABRAS</t>
  </si>
  <si>
    <t>REPOSICIÓN OFICINA REGISTRO CIVIL COMUNA DE LAS CABRAS</t>
  </si>
  <si>
    <t>MEJORAMIENTO PAVIMENTO AVENIDA OHIGGINS, CODEGUA</t>
  </si>
  <si>
    <t>NAVIDAD</t>
  </si>
  <si>
    <t>ADQUISICIÓN CUARTEL 3era.CIA. CUERPO DE BOMBEROS, NAVIDAD PUPUYA</t>
  </si>
  <si>
    <t>MEJORAMIENTO VEREDAS AVENIDA ARTURO PRAT MARCHIGUE</t>
  </si>
  <si>
    <t>PICHILEMU</t>
  </si>
  <si>
    <t>CONSTRUCCION OFICINA CONJUNTA SERVICIOS DEL TRABAJO EN PICHILEMU</t>
  </si>
  <si>
    <t>PEUMO</t>
  </si>
  <si>
    <t>MEJORAMIENTO PAVIMENTOS VARIAS CALLES COMUNA DE PEUMO</t>
  </si>
  <si>
    <t>RENGO</t>
  </si>
  <si>
    <t>MEJORAMIENTO AVDA ALONSO DE ERCILLA, COMUNA DE RENGO</t>
  </si>
  <si>
    <t>SAN VICENTE</t>
  </si>
  <si>
    <t>NORMALIZACÓN 1ERA COMPAÑÍA BOMBEROS, SAN VICENTE DE TAGUA TAGUA</t>
  </si>
  <si>
    <t>REPOSICION CON RELOCALIZACIÓN 5TA. COMISARÍA PEUMO</t>
  </si>
  <si>
    <t>LOLOL</t>
  </si>
  <si>
    <t>MEJORAMIENTO Y AMPLIACIÓN SISTEMA APR MEMBRILLO LOS TRICAHUES, LOLOL</t>
  </si>
  <si>
    <t>SAN FERNANDO</t>
  </si>
  <si>
    <t>INSTALACION SEMAFOROS PEATONALES SAN FERNANDO</t>
  </si>
  <si>
    <t>LA ESTRELLA</t>
  </si>
  <si>
    <t>REPOSICION CUARTEL CUERPO DE BOMBEROS DE LAS ESTRELLA</t>
  </si>
  <si>
    <t>PERALILLO</t>
  </si>
  <si>
    <t>REPOSICION CESFAM COMUNA PERALILLO</t>
  </si>
  <si>
    <t>CACHAPOAL</t>
  </si>
  <si>
    <t>CONSERVACION DE CAMINOS BASICOS GLOSA 6 GRUPO 5, PROVINCIA CACHAPOAL</t>
  </si>
  <si>
    <t>REPOSICIÓN CUARTEL DE BOMBEROS, 2DA COMPAÑÍA DE ALCONES, MARCHIGUE</t>
  </si>
  <si>
    <t>CARDENAL CARO</t>
  </si>
  <si>
    <t>CONSERVACION DE CAMINOS BASICOS GLOSA 6 GRUPO 4, VARIAS COMUNAS PROVINCIA DE CARDENAL CARO</t>
  </si>
  <si>
    <t>CONSERVACION DE CAMINOS BASICOS GLOSA 6 GRUPO 2, VARIAS COMUNAS DE CACHAPOAL</t>
  </si>
  <si>
    <t>COLCHAGUA</t>
  </si>
  <si>
    <t>CONSERVACIÓN DE CAMINOS BÁSICOS GRUPO 28, VARIAS COMUNAS, PROVINCIA DE COLCHAGUA</t>
  </si>
  <si>
    <t>CONSERVACIÓN DE CAMINOS BÁSICOS GRUPO 27, VARIAS COMUNAS, PROVINCIA DE CACHAPOAL</t>
  </si>
  <si>
    <t>REPOSICION Y AMPLIACION ESCUELA ROMILIO ARELLANO LAS CABRAS</t>
  </si>
  <si>
    <t>PICHIDEGUA</t>
  </si>
  <si>
    <t>REPOSICION ESCUELA BASICA DE PORTEZUELO, LARMAHUE, PICHIDEGUA</t>
  </si>
  <si>
    <t xml:space="preserve"> </t>
  </si>
  <si>
    <t>COINCO</t>
  </si>
  <si>
    <t>REPOSICION CUARTEL 1CIA Y CUERPO DE BOMBEROS COINCO</t>
  </si>
  <si>
    <t>DOÑIHUE</t>
  </si>
  <si>
    <t>REPOSICIÓN LICEO CLAUDIO ARRAU LEÓN, DOÑIHUE</t>
  </si>
  <si>
    <t>REPOSICIÓN LICEO MUNICIPAL - PICHILEMU</t>
  </si>
  <si>
    <t>RESTAURACION PARROQUIA DE SAN NICODEMO DE COINCO</t>
  </si>
  <si>
    <t>RESTAURACION IGLESIA NUESTRA SEÑORA DE LA MERCED, COMUNA CODEGUA</t>
  </si>
  <si>
    <t>CONSTRUCCION BASE RESPUESTA RAPIDA CONAF (PLAN REGIONAL) LAS CABRAS</t>
  </si>
  <si>
    <t>PAREDONES</t>
  </si>
  <si>
    <t>MEJORAMIENTO AVENIDA DOCTOR MOORE COMUNA DE PAREDONES</t>
  </si>
  <si>
    <t>CONSTRUCCION FACULTAD DE INGENIERÍA UNIVERSIDAD REGIONAL DE O'HIGGINS, CAMPUS RENGO</t>
  </si>
  <si>
    <t>MALLOA</t>
  </si>
  <si>
    <t>REPOSICION POSTA RURAL DE CORCOLÉN COMUNA DE MALLOA</t>
  </si>
  <si>
    <t>QUINTA DE TILCOCO</t>
  </si>
  <si>
    <t>MEJORAMIENTO PARQUE CERRO EL MANZANO DE LA COMUNA DE QUINTA DE TILCOCO</t>
  </si>
  <si>
    <t>CHEPICA</t>
  </si>
  <si>
    <t>REPOSICION CENTRO DE SALUD FAMILIAR URBANO CHEPICA</t>
  </si>
  <si>
    <t>GRANEROS</t>
  </si>
  <si>
    <t>MEJORAMIENTO ESPACIOS PÚBLICOS AV. LA COMPAÑIA ENTRE RUTA H-10 Y ESTERO BENITO, GRANEROS</t>
  </si>
  <si>
    <t>CHIMBARONGO</t>
  </si>
  <si>
    <t>CONSTRUCCION PLAZA CONJUNTO LOS MERCEDARIOS, CHIMBARONGO</t>
  </si>
  <si>
    <t>PALMILLA Y CHEPICA</t>
  </si>
  <si>
    <t>CONSERVACION CAMINOS BASICOS GRUPO 20, PALMILLA Y CHÉPICA</t>
  </si>
  <si>
    <t>RESTAURACION CENTRO CULTURAL CASA HODKINSON GRANEROS</t>
  </si>
  <si>
    <t>NORMALIZACIÓN E INTEGRACIÓN DE SEMÁFOROS SCAT RANCAGUA V ETAPA</t>
  </si>
  <si>
    <t>CONSERVACIÓN INFRAESTRUCTURA HOSPITAL DE COINCO</t>
  </si>
  <si>
    <t>REPOSICIÓN ESCUELA UNIÓN MUJERES AMERICANAS BUCALEMU</t>
  </si>
  <si>
    <t>RESTAURACION CENTRO CULTURAL, EX ESTACION DE FFCC, PEUMO</t>
  </si>
  <si>
    <t xml:space="preserve">MEJORAMIENTO PARQUE CAMPESINO LOLOL </t>
  </si>
  <si>
    <t>CONSTRUCCION VIA PEATONAL VALDIVIA Y PLAZOLETA M.RODRÍGUEZ, SN. FDO</t>
  </si>
  <si>
    <t>LITUECHE</t>
  </si>
  <si>
    <t>MEJORAMIENTO ACERAS CALLE HERMANOS CARRERA COMUNA DE LITUECHE</t>
  </si>
  <si>
    <t>OLIVAR</t>
  </si>
  <si>
    <t>REPOSICIÓN DEL CUARTEL DEL GOPE O'HIGGINS</t>
  </si>
  <si>
    <t>MEJORAMIENTO ESPACIO PUBLICO PATRIMONIAL AV. 18 SEPTIEMBRE, CHEPICA</t>
  </si>
  <si>
    <t>MEJORAMIENTO PLAZA DE ARMAS DE PEUMO, PEUMO</t>
  </si>
  <si>
    <t>MEJORAMIENTO INTERCONEXION VIAL EJE M.E.BALAGUER-REPUBLICA-MACHALI</t>
  </si>
  <si>
    <t>PLACILLA</t>
  </si>
  <si>
    <t xml:space="preserve">REPOSICION CUARTEL DE BOMBEROS DE PLACILLA </t>
  </si>
  <si>
    <t>PALMILLA</t>
  </si>
  <si>
    <t>REPOSICION LICEO SAN JOSE DEL CARMEN PALMILLA</t>
  </si>
  <si>
    <t>PUMANQUE</t>
  </si>
  <si>
    <t>CONSTRUCCION BASE TACTICA PARA EMERGENCIA REGIONALES (CONAF) PUMANQUE</t>
  </si>
  <si>
    <t>REPOSICION ALUMBRADO PUBLICO COMUNA LA ESTRELLA</t>
  </si>
  <si>
    <t>CONSTRUCCION SEGUNDA COMPAÑÍA DE BOMBEROS POBLACION PERALILLO</t>
  </si>
  <si>
    <t>REPOSICION CUARTEL PRIMERA COMPAÑÍA DE BOMBEROS DE PAREDONES</t>
  </si>
  <si>
    <t>CONSERVACION DE CAMINOS BASICOS GLOSA 6 GRUPO 7, PROVINCIA DE COLCHAGUA</t>
  </si>
  <si>
    <t>FACTIBILIDAD</t>
  </si>
  <si>
    <t>CONSTRUCCIÓN TÚNEL INTERNACIONAL PASO LAS LEÑAS</t>
  </si>
  <si>
    <t>MEJORAMIENTO SISTEMA APR SAN PEDRO LA PUNTILLA MALLOA</t>
  </si>
  <si>
    <t>CONSERVACION DE CAMINOS BASICOS GLOSA 6 GRUPO 3, VARIAS COMUNAS PROVINCIA DE COLCHAGUA</t>
  </si>
  <si>
    <t>CONSERVACION DE CAMINOS BASICOS GRUPO 29, VARIAS COMUNAS, PROVINCIA DE CARDENAL CARO</t>
  </si>
  <si>
    <t>CONSTRUCCION BASE RESPUESTA RAPIDA CONAF (PLAN REGIONAL) SANTA CRUZ</t>
  </si>
  <si>
    <t>REPOSICIÓN EDIFICIO DIRECCIÓN SERVICIO SALUD SEXTA REGIÓN</t>
  </si>
  <si>
    <t>MEJORAMIENTO LUMINARIAS DEL ALUMBRADO PÚBLICO DEL SECTOR NORTE, CH Y CENTRO PONIENTE DE RANCAGUA</t>
  </si>
  <si>
    <t>COLTAUCO</t>
  </si>
  <si>
    <t>CONSTRUCCION BASE RESPUESTA RAPIDA CONAF (PLAN REGIONAL) COLTAUCO</t>
  </si>
  <si>
    <t>MOSTAZAL</t>
  </si>
  <si>
    <t>CONSTRUCCION BASE RESPUESTA RAPIDA CONAF (PLAN REGIONAL) MOSTAZAL</t>
  </si>
  <si>
    <t>CONSERVACION VÍAS URBANAS PROCESO 2016 (EJECUCION 2019), VI REGION</t>
  </si>
  <si>
    <t>MEJORAMIENTO SISTEMA APR CRUZ DE CHILLEHUE, COINCO</t>
  </si>
  <si>
    <t>MEJORAMIENTO SISTEMA APR CASAS DE PEUCO MOSTAZAL</t>
  </si>
  <si>
    <t>REPOSICION CUARTEL 3ERA COMPAÑÍA DE BOMBEROS DE APALTA, SANTA CRUZ</t>
  </si>
  <si>
    <t>CONSTRUCCION CIERRE VERTEDERO SECTOR PUEBLO DE INDIOS, SAN VICENTE</t>
  </si>
  <si>
    <t>MEJORAMIENTO SISTEMA APR NILAHUE ALTO DE LOLOL</t>
  </si>
  <si>
    <t>CONSTRUCCIÓN APERTURA CALLE LA VICTORIA, COMUNA DE RANCAGUA</t>
  </si>
  <si>
    <t>MEJORAMIENTO INSTALACIONES MEDIALUNA RANCAGUA</t>
  </si>
  <si>
    <t>MEJORAMIENTO PISTA ATLÉTICA COMUNA SAN FERNANDO</t>
  </si>
  <si>
    <t>CONSTRUCCION HOGAR DE ANCIANOS COMUNA DE PICHILEMU</t>
  </si>
  <si>
    <t>NANCAGUA</t>
  </si>
  <si>
    <t>REPOSICIÓN CUARTEL 5ª CÍA DE BOMBEROS DE CUNACO, NANCAGUA</t>
  </si>
  <si>
    <t>REPOSICION GIMNASIO MUNICIPAL, SAN VICENTE DE TAGUA TAGUA</t>
  </si>
  <si>
    <t>ACTUALIZACION PLAN REGULADOR INTERCOMUNAL RIO CLARO</t>
  </si>
  <si>
    <t>ACTUALIZACION PLAN REGULADOR COMUNAL DE SAN FERNANDO</t>
  </si>
  <si>
    <t>NOTA: Los proyectos con saldos por ejecurar en negativo, se debe a  que el identificado es aumentado por la resolución N°7, tomada de razón 01-04-2021, y el corte de la ejecución es al 31-03-2021.</t>
  </si>
  <si>
    <t>INFORMACIÓN RESOLUCIONES GORE ST 31 PROGRAMA INVERSIÓN REGIONAL       ARICA  Y  PARINACOTA</t>
  </si>
  <si>
    <t>CONSTRUCCION PUENTE LAS ACACIAS Y VIAS DE EMPALME, ARICA.</t>
  </si>
  <si>
    <t xml:space="preserve">EJECUCIÓN </t>
  </si>
  <si>
    <t>Arica y parinacota</t>
  </si>
  <si>
    <t>Arica</t>
  </si>
  <si>
    <t xml:space="preserve">CONSTRUCCIÓN CENTRO DE SALUD FAMILIAR SECTOR SUR, COMUNA ARICA </t>
  </si>
  <si>
    <t xml:space="preserve">RESTAURACIÓN Y HABILIATACIÓN BIBLIOTECA REGIONAL EX FFCC ARICA LA PAZ </t>
  </si>
  <si>
    <t>CONSERVACIÓN DE INSTALACIONES SANITARIAS DEL COMPLEJO PENITENCIARIO DE ARICA</t>
  </si>
  <si>
    <t>NORMALIZACIÓN DE INFRAESTRUCTURA LICEO OCTAVIO PALMA PEREZ, ARICA</t>
  </si>
  <si>
    <t>CONSTRUCCION COMPLEJO DEPORTIVO CARDENAL SILVA HENRIQUEZ, ARICA</t>
  </si>
  <si>
    <t>CONSTRUCCION DE CUATRO SEDES SOCIALES EN LA COMUNA DE ARICA</t>
  </si>
  <si>
    <t>CONSTRUCCION PLAZA SEGURA POCONCHILE URBANO,ARICA</t>
  </si>
  <si>
    <t>CONSTRUCCION PARQUE PUERTA NORTE DE CHILE ARICA</t>
  </si>
  <si>
    <t>CONSTRUCCIÓN SISTEMA TRATAMIENTO AGUAS SERVIDAS STA. ROSA POCONCHILE</t>
  </si>
  <si>
    <t xml:space="preserve">CONSTRUCCIÓN RELLENO SANITARIO COMUNA DE ARICA </t>
  </si>
  <si>
    <t>CONSTRUCCIÓN PLAZA INTEGRADA LLACOLEN ,ARICA</t>
  </si>
  <si>
    <t xml:space="preserve">CONSTRUCCIÓN PLAZA INTEGRADA SANTIAGO ARATA, ARICA </t>
  </si>
  <si>
    <t>MEJORAMIENTO BORDE COSTERO PLAYA ARENILLAS NEGRAS ARICA</t>
  </si>
  <si>
    <t>CONSERVACION DE VIAS  2014- 2018 - ARICA</t>
  </si>
  <si>
    <t>CONSTRUCCIÓN SOL AP LOCALIDADES SUBTERRITORIO CAMARONES 1</t>
  </si>
  <si>
    <t xml:space="preserve">FACTIBILIDAD </t>
  </si>
  <si>
    <t>Camarones</t>
  </si>
  <si>
    <t xml:space="preserve">CONSTRUCCIÓN DE VENUSTERIOS PARA UNIDADES PENALES COM. PENINT. ARICA </t>
  </si>
  <si>
    <t xml:space="preserve">MEJORAMIENTO DE SERVICIOS ESTUDIANTES UNIVERSITARIOS REGION DE ARICA Y PARINACOTA </t>
  </si>
  <si>
    <t>MEJORAMIENTO PARQUE CENTENARIO ETAPA 2 -SKATE PARK, ARICA</t>
  </si>
  <si>
    <t xml:space="preserve">CONSTRUCCIÓN ESPACIO PÚBLICO, MIRAMAR SUR II, ARICA </t>
  </si>
  <si>
    <t>CONSERVACION DE ACERAS, SECTOR CENTRO DE LA CIUDAD DE ARICA</t>
  </si>
  <si>
    <t>EJECUCION CIRC. 33</t>
  </si>
  <si>
    <t>MEJORAMIENTO EE.PP LOS INDUSTRIALES I , ARICA</t>
  </si>
  <si>
    <t xml:space="preserve">MEJORAMIENTO PARQUE HEROES DE LA CONCEPCIÓN POBL. EDUARDO FREI ARICA </t>
  </si>
  <si>
    <t>RESPOSICIÓN SEDE SOCIAL LOS INDUSTRIALES III, ARICA</t>
  </si>
  <si>
    <t>CONSTRUCIÓN ELECTRIFICACIÓN VALLE DE VITOR, COMUNA DE ARICA</t>
  </si>
  <si>
    <t>MEJORAMIENTO CANCHA DEPORTIVA de ESCUELA D-91 CENTENARIO, ARICA</t>
  </si>
  <si>
    <t xml:space="preserve">CONSERVACIÓN CENTRO CERRADO DE ARICA,  SENAME </t>
  </si>
  <si>
    <t xml:space="preserve">CONSTRUCCIÓN CENTRO DE ATENCIÓN A DISCAPACITADOS UMPADE ARICA </t>
  </si>
  <si>
    <t>CONSTRUCCIÓN MUSEO ANTROPOLOGICO SAN MIGUEL DE AZAPA REG A Y P</t>
  </si>
  <si>
    <t>CONSTRUCCION PARQUE PUNTA NORTE SEGUNDA ETAPA LOTE 8 ARICA</t>
  </si>
  <si>
    <t>CONSTRUCCION CENTRO DE LAS CULTURAS Y LAS ARTES DE ARICA</t>
  </si>
  <si>
    <t xml:space="preserve">MEJORAMIENTO CALLE BOLOGNESI (EL MORRO 7 DE JUNIO) ARICA </t>
  </si>
  <si>
    <t xml:space="preserve">EJECUCÓN </t>
  </si>
  <si>
    <t xml:space="preserve">REPOSICIÓN TOTAL DEL JARDIN INFANTIL CON SALAS CUNA PIOLIN </t>
  </si>
  <si>
    <t xml:space="preserve">MEJORAMIENTO CALLE EL MORRO, ARICA </t>
  </si>
  <si>
    <t xml:space="preserve">AMPLIACIÓN Y MEJORAMIENTO INSTITUTO TELETÓN </t>
  </si>
  <si>
    <t>CONSTRUCCIÓN EEPP PLAZA LAS TERRAZAS ARICA</t>
  </si>
  <si>
    <t>REPOSICIÓN TOTAL JARDIN INFANTIL Y SALAS CUNA CAPERUCITA</t>
  </si>
  <si>
    <t xml:space="preserve">CONSTRUCCIÓN COMPLEJO DEPORTIVO COMUNAL DE PUTRE, ETAPA I </t>
  </si>
  <si>
    <t>Putre</t>
  </si>
  <si>
    <t>CONSERVACION CAMINO BASICO RUTAS PROVINCIA DE PARINACOTA</t>
  </si>
  <si>
    <t>EJECUCIÓN      CIRC. 33</t>
  </si>
  <si>
    <t>Parinacota</t>
  </si>
  <si>
    <t>CONSTRUCCION PASEO PEATONAL CAMINO TROPERO MARKAPATA, PUTRE</t>
  </si>
  <si>
    <t>NORMALIZACION ESCUELA IGNACIO CARRERA PINTO G-27</t>
  </si>
  <si>
    <t>CONSTRUCCION PLAZA CULTURA CHINCHORRO LOCALIDAD DE CUYA</t>
  </si>
  <si>
    <t>CONSERVACION DE RIVERAS CAUCES NATURALES VARIOS SECTORES DE LA REGION DE ARICA Y PARINACOTA</t>
  </si>
  <si>
    <t>POR EJECUTAR DE LO IDENTIFICADO</t>
  </si>
  <si>
    <t>EJECUTADO</t>
  </si>
  <si>
    <t>ENE- MAR</t>
  </si>
  <si>
    <t>ACTUALIZACION PLANO REGULADOR COMUNA IQUIQUE</t>
  </si>
  <si>
    <t>Tarapacá</t>
  </si>
  <si>
    <t>IQUIQUE</t>
  </si>
  <si>
    <t>ANALISIS RIESGOS ALUVIONALES SECTOR ALTOS DE PLAYA BLANCA, COMUNA DE IQUIQUE</t>
  </si>
  <si>
    <t>CONSTRUCCION RED ELECTRICA A LA COMUNA DE COLCHANE</t>
  </si>
  <si>
    <t>COLCHANE</t>
  </si>
  <si>
    <t>CONSTRUCCION ALCANTARILLADO CALETA CHANAVAYITA, IQUIQUE</t>
  </si>
  <si>
    <t>CONSTRUCCION CEMENTERIO MUNICIPAL, ALTO HOSPICIO, I REGION</t>
  </si>
  <si>
    <t>ALTO HOSPICIO</t>
  </si>
  <si>
    <t>CONSERVACION ACERAS Y SOLERAS EN COMUNA DE IQUIQUE, SECTOR SUR</t>
  </si>
  <si>
    <t>CONSTRUCCION COLEGIO MUNICIPAL, LA PAMPA, COMUNA  DE ALTO HOSPICIO</t>
  </si>
  <si>
    <t>CONSERVACION ACERAS Y SOLERAS COMUNA IQUIQUE, SECTOR NORTE, ETAPA I</t>
  </si>
  <si>
    <t>CONSERVACION ACERAS Y SOLERAS EN COMUNA DE IQUIQUE, SECTOR NORTE, ETAPA II</t>
  </si>
  <si>
    <t>RESTAURACION FACHADAS CALLE BAQUEDANO, ZONA TIPICA DE IQUIQUE</t>
  </si>
  <si>
    <t>RESTAURACION IGLESIA SAN ANTONIO DE PADUA Y CONVENTO FRANCISCANO</t>
  </si>
  <si>
    <t>CONSTRUCCION TERMAS DE CHUSMIZA, COMUNA DE HUARA</t>
  </si>
  <si>
    <t>CONSERVACION CENTRO CE18ADO IQUIQUE</t>
  </si>
  <si>
    <t>RESTAURACION EDIFICIO SOCIEDAD PROTECTORA DE EMPLEADOS DE TARAPACA, MHN</t>
  </si>
  <si>
    <t>RESTAURACION EX CARCEL DE PISAGUA, PARA EL CENTRO DE INTERPRETACION HISTORICA</t>
  </si>
  <si>
    <t>CONSTRUCCION SISTEMA DE CAMARAS DE TELEVIGILANCIA COMUNA DE ALTO HOSPICIO</t>
  </si>
  <si>
    <t>CONSTRUCCION BORDE COSTERO CALETA CHANAVAYITA, IQUIQUE</t>
  </si>
  <si>
    <t>MEJORAMIENTO PSICINA CENTRO DEPORTIVO LA PAMPA</t>
  </si>
  <si>
    <t>CONSTRUCCION RED ELECTRICA VARIAS LOCALIDADES DE LA COMUNA DE HUARA</t>
  </si>
  <si>
    <t xml:space="preserve">HUARA </t>
  </si>
  <si>
    <t>CONSTRUCCION CENTRO COMUNITARIO  COMUNA IQUIQUE</t>
  </si>
  <si>
    <t>CONSTRUCCION POSTA DE SALUD RURAL DE CARIQUIMA, COMUNA DE COLCHANE</t>
  </si>
  <si>
    <t>REPOSICION POSTA SALUD RURAL DE LA TIRANA, COMUNA DE POZO ALMONTE</t>
  </si>
  <si>
    <t>POZO ALMONTE</t>
  </si>
  <si>
    <t>CONSTRUCCION RED ALCANTARILLADO SECTOR EL BORO PONIENTE</t>
  </si>
  <si>
    <t>CONSTRUCCION RED AGUA POTABLE, SECTOR BORO PONIENTE</t>
  </si>
  <si>
    <t>RESTAURACION ARQUITECTONICA EX ADUANA DE IQUIQUE</t>
  </si>
  <si>
    <t>CONSERVACION PLAN DE CCBB RUTA A-475 YA-475, PROVINCIA DEL TAMARUGAL, REGION DE TARAPACA</t>
  </si>
  <si>
    <t>CONSTRUCCION ARCHIVO REGIONAL DE TARAPACA</t>
  </si>
  <si>
    <t>CONSTRUCCION NUEVO RELLENO SANITARIO MANCOMUNADO</t>
  </si>
  <si>
    <t>CONSERVACION PLAN DE CCBB RUTAS A-855 Y A-412</t>
  </si>
  <si>
    <t>CONSTRUCCION CENTRO SALUD FAMILIAR COMUNA IQUIQUE</t>
  </si>
  <si>
    <t>REPOSICION SALA MULTIUSO DE CAMIÑA</t>
  </si>
  <si>
    <t>CAMIÑA</t>
  </si>
  <si>
    <t>REPOSICION CASAS DE HUESPEDES PARA FUNCIONARIOS  MUNICIPALES, DE LA SALUD Y EDUCACION</t>
  </si>
  <si>
    <t>REPOSICION ASCENSORES DEL HOSPITAL ERNESTO TO18ES G.</t>
  </si>
  <si>
    <t>CONSTRUCCION ILUMINACION SOLAR PARA MEJORAR SEGURIDAD RUTA A-469</t>
  </si>
  <si>
    <t>RESTAURACION ARQUITECTONICA TEATRO MUNICIPAL, IQUIQUE</t>
  </si>
  <si>
    <t>SANEAMIENTO CONTROL DE PLAGAS SECTOR EL BORO, ALTO HOSPICIO</t>
  </si>
  <si>
    <t>CAPACITACION TNENCIA RESPONSABLE DE MASCOTAS, REGION DE TARAPACA</t>
  </si>
  <si>
    <t>CAPACITACION EN SEPARACION DE RESIDUOS SOLIDOS DOMICILIARIOS INORGANICOS, COMUNA</t>
  </si>
  <si>
    <t>CONTROL DE LA POBLACION DE CANINOS SIN DUEÑO, REGION DE TARAPACA</t>
  </si>
  <si>
    <t>CONSTRUCCION CENTRO DE CONTROL DE TRANSITO-SCAT REGION DE TARAPACA</t>
  </si>
  <si>
    <t>REPOSICION ALUMBRADO PUBLICO CON TECNOLOGIA LED COMUNA DE COLCHANE</t>
  </si>
  <si>
    <t>MEJORAMIENTO DEPENDENCIAS MUNICIPALES POZO ALMONTE</t>
  </si>
  <si>
    <t>CONSERVACION RED VIAL, OBRAS DE EMERGENCIA RUTA A-475, S. ARIQUILDA-S.C RUTA A-457</t>
  </si>
  <si>
    <t>AMPLIACION DEL RELLENO SANITARIO DE PICA</t>
  </si>
  <si>
    <t>PICA</t>
  </si>
  <si>
    <t>REPOSICION ASCENSOR EDIFICIO INTENDENCIA REGIONAL DE TARAPACA, IQUIQUE</t>
  </si>
  <si>
    <t>MEJORAMIENTO ACCESIBILIDAD Y CONECTIVIDAD EN LA CIUDAD DE IQUIQUE</t>
  </si>
  <si>
    <t>CONSTRUCCION HOSPITAL ALTO HOSPICIO</t>
  </si>
  <si>
    <t>REPOSICION AREAS DAÑADAS CENTRO CULTURAL, ALTO HOSPICIO</t>
  </si>
  <si>
    <t xml:space="preserve">REPOSICION SEDE SOCIAL PARA LA LOCALIDAD DE POROMA, COMUNA DE HUARA </t>
  </si>
  <si>
    <t>RESTAURACION 2 MONUMENTOS NACIONALES DE PISAGUA</t>
  </si>
  <si>
    <t>CONSERVACION CUARTEL BARROS ARANA, PDI IQUIQUE</t>
  </si>
  <si>
    <t>RESTAURACION VIVIENDA ZONA TIPICA DE BAQUEDANO, EN ANIBAL PINTO DEL 770 AL 792, IQUIQUE</t>
  </si>
  <si>
    <t>REPOSICION INFRAESTRUCTURA DEPORTIVA Y SOCIAL COMPLEJO HERNAN VILLANUEVA, IQUQUE}</t>
  </si>
  <si>
    <t>30134836-0</t>
  </si>
  <si>
    <t>REPOSICION ESCUELA RURAL WALTERIO MEYER RUSCA,  AGUA BUENA, OSORNO</t>
  </si>
  <si>
    <t>Los Lagos</t>
  </si>
  <si>
    <t>Osorno</t>
  </si>
  <si>
    <t>30043744-0</t>
  </si>
  <si>
    <t>MEJORAMIENTO AVENIDA REPUBLICA, OSORNO.</t>
  </si>
  <si>
    <t>40004690-0</t>
  </si>
  <si>
    <t>MEJORAMIENTO INSTALACIONES ATLÉTICAS VILLA OLÍMPICA, OSORNO</t>
  </si>
  <si>
    <t>30070862-0</t>
  </si>
  <si>
    <t>REPOSICION LICEO CARMELA CARVAJAL DE PRAT, OSORNO.</t>
  </si>
  <si>
    <t>30088194-0</t>
  </si>
  <si>
    <t>REPOSICION ESCUELAS ANDREW JACKSON Y RÍO NEGRO, COMUNA RÍO NEGRO</t>
  </si>
  <si>
    <t>Río Negro</t>
  </si>
  <si>
    <t>30110580-0</t>
  </si>
  <si>
    <t>REPOSICION LICEO E INTERNADO ANTULAFKEN DE PUAUCHO, SAN JUAN COSTA</t>
  </si>
  <si>
    <t>San Juan de La Costa</t>
  </si>
  <si>
    <t>30341232-0</t>
  </si>
  <si>
    <t>AMPLIACION SERV. APR BAHIA LINAO HACIA HUAPILINAO Y R.NEGRO,ANCUD</t>
  </si>
  <si>
    <t>Ancud</t>
  </si>
  <si>
    <t>30109898-0</t>
  </si>
  <si>
    <t>CONSTRUCCION SISTEMA DE APR SECTOR CAULIN LA CUMBRE, ANCUD</t>
  </si>
  <si>
    <t>20140221-0</t>
  </si>
  <si>
    <t>REPOSICION POSTA DE SALUD RURAL DE LA ISLA CHELÍN, CASTRO</t>
  </si>
  <si>
    <t>Castro</t>
  </si>
  <si>
    <t>30485152-0</t>
  </si>
  <si>
    <t>CONSTRUCCION REDES DE AP Y ALCANT. DIVERSOS SECTORES CIUDAD DALCAHUE</t>
  </si>
  <si>
    <t>Dalcahue</t>
  </si>
  <si>
    <t>30134014-0</t>
  </si>
  <si>
    <t>CONSTRUCCION GIMNASIO TENAUN COMUNA DE DALCAHUE</t>
  </si>
  <si>
    <t>30125850-0</t>
  </si>
  <si>
    <t>CONSTRUCCION MULTICANCHA CERRADA FRANCISCO COLOANE COMUNA DE QUELLON</t>
  </si>
  <si>
    <t>Quellón</t>
  </si>
  <si>
    <t>30476688-0</t>
  </si>
  <si>
    <t>REPOSICION POSTA SALUD RURAL CUCAO, COMUNA CHONCHI</t>
  </si>
  <si>
    <t>Chonchi</t>
  </si>
  <si>
    <t>40009233-0</t>
  </si>
  <si>
    <t>CONSTRUCCION REDES DE AP Y ALC. DE AGUAS SERVIDAS DIVERSOS SECTORES CIUDAD DE ANCUD</t>
  </si>
  <si>
    <t>40005578-0</t>
  </si>
  <si>
    <t>MEJORAMIENTO CALLE TERRAPLEN, PUERTO VARAS</t>
  </si>
  <si>
    <t>Puerto Varas</t>
  </si>
  <si>
    <t>40001254-0</t>
  </si>
  <si>
    <t>MEJORAMIENTO CALLE SAN MARTÍN, PUERTO VARAS</t>
  </si>
  <si>
    <t>30204522-0</t>
  </si>
  <si>
    <t>REPOSICION CUARTEL SEXTA COMPAÑIA DE BOMBEROS, PUERTO VARAS</t>
  </si>
  <si>
    <t>40014647-0</t>
  </si>
  <si>
    <t>MEJORAMIENTO SENDERO SALTOS DEL PETROHUÉ, P. NACIONAL VIC. PEREZ ROSALES, PUERTO VARAS</t>
  </si>
  <si>
    <t>30104476-0</t>
  </si>
  <si>
    <t>CONSTRUCCION CIERRE VERTEDERO MUNICIPAL COMUNA DE PUERTO MONTT</t>
  </si>
  <si>
    <t>Puerto Montt</t>
  </si>
  <si>
    <t>40005337-0</t>
  </si>
  <si>
    <t>REPOSICION POSTA TRAPEN, PUERTO MONTT</t>
  </si>
  <si>
    <t>30080921-0</t>
  </si>
  <si>
    <t>REPOSICION POSTA  RURAL DE PIEDRA  AZUL, PUERTO MONTT</t>
  </si>
  <si>
    <t>30361529-0</t>
  </si>
  <si>
    <t>MEJORAMIENTO SISTEMA APR CAÑITAS-RIO FRIO, LOS MUERMOS</t>
  </si>
  <si>
    <t>Los Muermos</t>
  </si>
  <si>
    <t>30422722-0</t>
  </si>
  <si>
    <t>CONSTRUCCION SERVICIO APR SANTA AMANDA, LOS MUERMOS</t>
  </si>
  <si>
    <t>30463128-0</t>
  </si>
  <si>
    <t>MEJORAMIENTO   INFRAESTRUCTURA PEATONAL CALLE MANUEL MONTT, COMUNA DE LOS MUERMOS</t>
  </si>
  <si>
    <t>30328431-0</t>
  </si>
  <si>
    <t>CONSTRUCCION GIMNASIO MUNICIPAL DE LLANADA GRANDE, COCHAMO</t>
  </si>
  <si>
    <t>40006863-0</t>
  </si>
  <si>
    <t>REPOSICION ESCUELA JUAN SOLER MANFREDINI, COCHAMO</t>
  </si>
  <si>
    <t>Cochamo</t>
  </si>
  <si>
    <t>30326322-0</t>
  </si>
  <si>
    <t>REPOSICION ESCUELA BERNARDO O'HIGGINS, CALBUCO</t>
  </si>
  <si>
    <t>Calbuco</t>
  </si>
  <si>
    <t>30282773-0</t>
  </si>
  <si>
    <t>REPOSICION POSTA DE SALUD RURAL EL TRAIGUEN, FRESIA</t>
  </si>
  <si>
    <t>Fresia</t>
  </si>
  <si>
    <t>40007476-0</t>
  </si>
  <si>
    <t>CONSTRUCCION AGUA POTABLE RURAL COLEGUAL ESPERANZA, COMUNA LLANQUIHUE</t>
  </si>
  <si>
    <t>Llanquihue</t>
  </si>
  <si>
    <t>30103541-0</t>
  </si>
  <si>
    <t>REPOSICION EDIFICIO MUNICIPAL DE CHAITEN</t>
  </si>
  <si>
    <t>Chaiten</t>
  </si>
  <si>
    <t>30072372-0</t>
  </si>
  <si>
    <t>AMPLIACION ESCUELA BÁSICA FUTALEUFÚ PARA ENSEÑANZA MEDIA</t>
  </si>
  <si>
    <t>Futaleufú</t>
  </si>
  <si>
    <t>30086361-0</t>
  </si>
  <si>
    <t>REPOSICION GIMNASIO MUNICIPAL DE FUTALEUFÚ</t>
  </si>
  <si>
    <t>30102779-0</t>
  </si>
  <si>
    <t>CONSTRUCCION TERMINAL DE BUSES COMUNA DE FUTALEUFÚ</t>
  </si>
  <si>
    <t>30311722-0</t>
  </si>
  <si>
    <t>REPOSICION POSTA DE SALUD RURAL AULEN, COMUNA HUALAIHUE.</t>
  </si>
  <si>
    <t>Hualaihue</t>
  </si>
  <si>
    <t>30065600-0</t>
  </si>
  <si>
    <t>CONSTRUCCION SISTEMA AGUA POTABLE RURAL EL MANZANO, HUALAIHUE</t>
  </si>
  <si>
    <t>Perfil</t>
  </si>
  <si>
    <t>30342673-0</t>
  </si>
  <si>
    <t>CONSTRUCCION CAMINO RUTA W-807,SECTOR:PTE.NEGRO-PTE.AQUELLAS,CHAITEN</t>
  </si>
  <si>
    <t>30384677-0</t>
  </si>
  <si>
    <t>MEJORAMIENTO RUTA 235-CH SECTOR V. S. LUCIA-P. RAMIREZ, PROV. PALENA</t>
  </si>
  <si>
    <t>Palena</t>
  </si>
  <si>
    <t>30186523-0</t>
  </si>
  <si>
    <t>CONSTRUCCION CONEXION VIAL ISLA TALCAN ARCH. DESERTORES,CHAITEN</t>
  </si>
  <si>
    <t>30135233-0</t>
  </si>
  <si>
    <t xml:space="preserve">MEJORAMIENTO CIRCUITO PEATONAL HISTÓRICO, COMUNA DE PALENA </t>
  </si>
  <si>
    <t>30072731-0</t>
  </si>
  <si>
    <t>MEJORAMIENTO CALLE  ANTONIO VARAS, PUERTO MONTT</t>
  </si>
  <si>
    <t>30364305-0</t>
  </si>
  <si>
    <t>AMPLIACION Y MEJORAMIENTO INSTITUTO TELETON, PUERTO MONTT</t>
  </si>
  <si>
    <t>30115395-0</t>
  </si>
  <si>
    <t>CONSTRUCCION CUARTEL OCTAVA COMPAÑIA DE BOMBEROS, PUERTO MONTT</t>
  </si>
  <si>
    <t>30429872-0</t>
  </si>
  <si>
    <t>CONSTRUCCION REDES A POTABLE Y ALCANT. V. LOS PINOS ALTOS, P. MONTT</t>
  </si>
  <si>
    <t>30127010-0</t>
  </si>
  <si>
    <t>MEJORAMIENTO CALLE EL TENIENTE, BARRIO INDUSTRIAL DE PUERTO MONTT</t>
  </si>
  <si>
    <t>30125824-0</t>
  </si>
  <si>
    <t>AMPLIACION Y REMODELACION INTEGRAL CONSISTORIAL LOS MUERMOS</t>
  </si>
  <si>
    <t>30088011-0</t>
  </si>
  <si>
    <t>CONSTRUCCION PLANTA DE TRATAMIENTO LOCALIDAD DE PARGA, COMUNA FRESIA</t>
  </si>
  <si>
    <t>30397144-0</t>
  </si>
  <si>
    <t>CONSTRUCCION SISTEMA APR SECTOR LAS CRUCES, COMUNA DE FRESIA</t>
  </si>
  <si>
    <t>40006229-0</t>
  </si>
  <si>
    <t xml:space="preserve">MEJORAMIENTO DIVERSAS CALLES, COMUNA DE FRESIA </t>
  </si>
  <si>
    <t>30134714-0</t>
  </si>
  <si>
    <t>CONSTRUCCION ESTADIO MUNICIPAL ANFUR, COMUNA DE FRESIA</t>
  </si>
  <si>
    <t>30485141-0</t>
  </si>
  <si>
    <t>CONSTRUCCION SISTEMA DE APR  SECT. LOS RADALES, COMUNA FRUTILLAR</t>
  </si>
  <si>
    <t>Frutillar</t>
  </si>
  <si>
    <t>30085259-0</t>
  </si>
  <si>
    <t>REPOSICION ESCUELA ARTURO ALESSANDRI PALMA FRUTILLAR</t>
  </si>
  <si>
    <t>30248522-0</t>
  </si>
  <si>
    <t>CONSTRUCCION ESTADIO MUNICIPAL COMUNA DE COCHAMO</t>
  </si>
  <si>
    <t>30342773-0</t>
  </si>
  <si>
    <t>MEJORAMIENTO RUTA V-69, SECTOR RALUN - COCHAMO, COMUNA COCHAMO</t>
  </si>
  <si>
    <t>30077481-0</t>
  </si>
  <si>
    <t>RESTAURACION IGLESIA N. S. DE LA CANDELARIA DE CARELMAPU, MAULLIN</t>
  </si>
  <si>
    <t>Maullin</t>
  </si>
  <si>
    <t>20086686-0</t>
  </si>
  <si>
    <t>REPOSICION PARCIAL LICEO POLITECNICO ,  CALBUCO</t>
  </si>
  <si>
    <t>30087299-0</t>
  </si>
  <si>
    <t>CONSTRUCCION CEMENTERIO MUNICIPAL DE CALBUCO</t>
  </si>
  <si>
    <t>40010719-0</t>
  </si>
  <si>
    <t>MEJORAMIENTO CALLE   LA QUEBRADA, PUERTO VARAS</t>
  </si>
  <si>
    <t>30091074-0</t>
  </si>
  <si>
    <t>CONSTRUCCION BIBLIOTECA REGIONAL  LOS LAGOS, PUERTO MONTT</t>
  </si>
  <si>
    <t>30093349-0</t>
  </si>
  <si>
    <t>REPOSICIÓN POSTA SALUD RURAL DE MANAO, COMUNA DE ANCUD</t>
  </si>
  <si>
    <t>40011005-0</t>
  </si>
  <si>
    <t>CONSERVACION VEREDAS SECTOR CANITAS Y RIO FRIO</t>
  </si>
  <si>
    <t>30342679-0</t>
  </si>
  <si>
    <t>CONSERVACION PERIÓDICA, CAMINO BÁSICO ROL W-813 Y ROL W-815</t>
  </si>
  <si>
    <t>30487244-0</t>
  </si>
  <si>
    <t>CONSERVACION VEREDAS CALLES DE PALENA</t>
  </si>
  <si>
    <t>30077490-0</t>
  </si>
  <si>
    <t>CONSERVACION CASA PAULY PUERTO MONTT</t>
  </si>
  <si>
    <t>40005278-0</t>
  </si>
  <si>
    <t>CONSERVACION VIAS URBANAS PUERTO VARAS</t>
  </si>
  <si>
    <t>30460140-0</t>
  </si>
  <si>
    <t>CONSERVACION FACHADAS Y CIRCULACIONES CENTRO ADMINISTRATIVO REGIONAL</t>
  </si>
  <si>
    <t>30485368-0</t>
  </si>
  <si>
    <t>REPOSICION CENTRO REHABILITACION  CLUB DE LEONES COMUNA DE ANCUD</t>
  </si>
  <si>
    <t>30381175-0</t>
  </si>
  <si>
    <t>CONSTRUCCION CANCHA Y PISTA ATLETICA CANCHA RAYADA DE CASTRO</t>
  </si>
  <si>
    <t>30076949-0</t>
  </si>
  <si>
    <t>REPOSICION ESCUELA DE LA CULTURA, FRIDOLINA BARRIENTOS, CASTRO</t>
  </si>
  <si>
    <t>40004659-0</t>
  </si>
  <si>
    <t>CONSTRUCCION SISTEMA APR SECTOR BUTALCURA, PRIMERA ETAPA, DALCAHUE</t>
  </si>
  <si>
    <t>40001662-0</t>
  </si>
  <si>
    <t>CONSTRUCCION RECINTO DEPORTIVO SECTOR MOCOPULLI, COMUNA DE DALCAHUE</t>
  </si>
  <si>
    <t>40012136-0</t>
  </si>
  <si>
    <t>HABILITACION  Y SUMINISTRO ENERGÍA ELÉCTRICA SECTOR  KM 26 Y 27, COMUNA DE ANCUD</t>
  </si>
  <si>
    <t>30485255-0</t>
  </si>
  <si>
    <t>HABILITACION SUMINISTRO DE ENERGIA ELECTRICA SECTOR QUEMAS DE CHUYAQUEN, MAULLIN</t>
  </si>
  <si>
    <t>40011698-0</t>
  </si>
  <si>
    <t>HABILITACION SUMINISTRO ENERGIA ELECTRICA VARIOS SECTORES, LOS MUERMOS</t>
  </si>
  <si>
    <t>40012912-0</t>
  </si>
  <si>
    <t>HABILITACION SUMINISTRO ENERGIA ELECTRICA SECTOR EL TIGRE, PALENA</t>
  </si>
  <si>
    <t>30485115-0</t>
  </si>
  <si>
    <t>CONSTRUCCION SERVICIO DE APR SECTOR BALMACEDA-PARAGUAY, FRUTILLAR</t>
  </si>
  <si>
    <t>30257472-0</t>
  </si>
  <si>
    <t>CONSTRUCCION RED DE ALCANTARILLADO Y PLANTA DE TRATAMIENTO SECTOR PICHIL, OSORNO</t>
  </si>
  <si>
    <t>40019022-0</t>
  </si>
  <si>
    <t>REPOSICION VEREDAS POBLACIÓN ANGULO COMUNA OSORNO</t>
  </si>
  <si>
    <t>30463800-0</t>
  </si>
  <si>
    <t>REPOSICION HOSPEDERIA HOGAR DE CRISTO, OSORNO</t>
  </si>
  <si>
    <t>40019026-0</t>
  </si>
  <si>
    <t>REPOSICION DE VEREDAS SECTOR CENTRO NORTE, OSORNO</t>
  </si>
  <si>
    <t>40015396-0</t>
  </si>
  <si>
    <t>REPOSICION JUZGADOS DE POLICÍA LOCAL, OSORNO</t>
  </si>
  <si>
    <t>30405773-0</t>
  </si>
  <si>
    <t>REPOSICION POSTA RURAL LA POZA, COMUNA DE SAN PABLO</t>
  </si>
  <si>
    <t>San Pablo</t>
  </si>
  <si>
    <t>30247072-0</t>
  </si>
  <si>
    <t>MEJORAMIENTO ACCESO NORTE A SAN PABLO</t>
  </si>
  <si>
    <t>30126943-0</t>
  </si>
  <si>
    <t>MEJORAMIENTO HOSPITAL DE RIO NEGRO</t>
  </si>
  <si>
    <t>Rio Negro</t>
  </si>
  <si>
    <t>30397335-0</t>
  </si>
  <si>
    <t>CONSTRUCCION SERVICIO AGUA POTABLE RURAL COLONIA PONCE, PURRANQUE</t>
  </si>
  <si>
    <t>Purranque</t>
  </si>
  <si>
    <t>30134930-0</t>
  </si>
  <si>
    <t>CONSTRUCCION ESTADIO CORTE-ALTO, PURRANQUE</t>
  </si>
  <si>
    <t>30071878-0</t>
  </si>
  <si>
    <t>REPOSICION  CONSULTORIO DE SALUD RURAL BAHIA MANSA</t>
  </si>
  <si>
    <t>San Juan de Costa</t>
  </si>
  <si>
    <t>30478036-0</t>
  </si>
  <si>
    <t>REPOSICION ESCUELA RURAL EL ISLOTE RUPANCO, PUERTO OCTAY</t>
  </si>
  <si>
    <t>Puerto Octay</t>
  </si>
  <si>
    <t>40007052-0</t>
  </si>
  <si>
    <t>REPOSICION CECOSF EL ENCANTO, COMUNA DE PUYEHUE</t>
  </si>
  <si>
    <t>Puyehue</t>
  </si>
  <si>
    <t>30284622-0</t>
  </si>
  <si>
    <t>REPOSICION PLAZA DE ARMAS DE RIO NEGRO</t>
  </si>
  <si>
    <t>40010103-0</t>
  </si>
  <si>
    <t>CONSTRUCCION CECOSF URBANO CHIFIN, COMUNA DE RIO NEGRO</t>
  </si>
  <si>
    <t>40015603-0</t>
  </si>
  <si>
    <t>HABILITACION ESTRUCTURA MODULAR MAQUINA RX CF CARDENAL SAMORE, PUYEHUE</t>
  </si>
  <si>
    <t>30485135-0</t>
  </si>
  <si>
    <t>CONSERVACION VEREDAS CASTRO ALTO, COMUNA DE CASTRO</t>
  </si>
  <si>
    <t>30076663-0</t>
  </si>
  <si>
    <t>CONSERVACION FERIA LILLO  COMUNA CASTRO</t>
  </si>
  <si>
    <t>30480757-0</t>
  </si>
  <si>
    <t>CONSERVACION  GIMNASIO MUNICIPAL COMUNA DE QUEILEN</t>
  </si>
  <si>
    <t>Queilen</t>
  </si>
  <si>
    <t>30165522-0</t>
  </si>
  <si>
    <t>CONSERVACION Y EQUIP. EDIF. CIAS. BOMBEROS 4TA.,5TA Y CUARTEL GRAL.</t>
  </si>
  <si>
    <t>40019354-0</t>
  </si>
  <si>
    <t>CONSERVACION CAMINOS NO ENROLADOS SECTOR  COLONIA PONCE Y OTROS</t>
  </si>
  <si>
    <t>40013401-0</t>
  </si>
  <si>
    <t>CONSERVACION CAMINOS NO ENROLADOS 6 SECTORES RURALES DE LA COMUNA DE PUERTO OCTAY</t>
  </si>
  <si>
    <t>30448275-0</t>
  </si>
  <si>
    <t>CONSERVACION CNOS. VECINALES POR GLOSA 7, ETAPA 1, PROVINCIA OSORNO</t>
  </si>
  <si>
    <t>30133755-0</t>
  </si>
  <si>
    <t>CONSERVACION RED VIAL DE VARIOS CAMINOS PAVIMENTADOS AÑO 2013</t>
  </si>
  <si>
    <t>40022424-0</t>
  </si>
  <si>
    <t>CONSERVACION DIVERSOS CAMINOS DE RIPIO, REGIÓN DE LOS LAGOS, AÑO 2020-2021</t>
  </si>
  <si>
    <t>30077182-0</t>
  </si>
  <si>
    <t>REPOSICION CUARTEL INVESTIGACIONES PUERTO VARAS</t>
  </si>
  <si>
    <t>30135630-0</t>
  </si>
  <si>
    <t>REPOSICION ESCUELA RURAL DE COMPU, COMUNA DE QUELLON</t>
  </si>
  <si>
    <t>Quellon</t>
  </si>
  <si>
    <t>40016735-0</t>
  </si>
  <si>
    <t>RESTAURACION CENTRO CULTURAL SOFÍA HOTT, OSORNO</t>
  </si>
  <si>
    <t>30106468-0</t>
  </si>
  <si>
    <t>REPOSICION ESCUELA RURAL LAGUNITAS COMUNA DE PUERTO MONTT</t>
  </si>
  <si>
    <t>30371674-0</t>
  </si>
  <si>
    <t>REPOSICION TERMINAL PORTUARIO DE CHAITEN</t>
  </si>
  <si>
    <t>30115466-0</t>
  </si>
  <si>
    <t>CONSTRUCCION SISTEMA ALCANT. Y TRATAM. AGUAS SERVIDAS DE LOLCURA, MAULLIN</t>
  </si>
  <si>
    <t>30380331-0</t>
  </si>
  <si>
    <t>CONSTRUCCION  Y HABILITACION CENTRO DE DIALISIS HOSPITAL CALBUCO</t>
  </si>
  <si>
    <t>30289475-0</t>
  </si>
  <si>
    <t>CONSTRUCCION SERVICIO APR SAN CARLOS, LOS MUERMOS</t>
  </si>
  <si>
    <t>30076574-0</t>
  </si>
  <si>
    <t>REPOSICION EDIFICIO CONSISTORIAL, LLANQUIHUE</t>
  </si>
  <si>
    <t>30087497-0</t>
  </si>
  <si>
    <t>REPOSICION CUARTEL  POLICIAL PREFECTURA  PROVINCIAL  OSORNO</t>
  </si>
  <si>
    <t>40003992-0</t>
  </si>
  <si>
    <t>CONSTRUCCION SUMINISTRO E. ELECTRICA FOTOVOLTAICA LOC. DE QUIACA-ISLA LLANCAHUE, HUALAIHUE</t>
  </si>
  <si>
    <t>40019107-0</t>
  </si>
  <si>
    <t>CONSTRUCCION SUM. ENERGIA FOTOVOLTAICA  EL MANSO-L V GORMAZ-L T. TAGUA-LOS GUINDOS, COCHAMO</t>
  </si>
  <si>
    <t>30134013-0</t>
  </si>
  <si>
    <t>REPOSICION ESCUELA TEHUACO - QUETALCO COMUNA DE DALCAHUE</t>
  </si>
  <si>
    <t>30060589-0</t>
  </si>
  <si>
    <t>MEJORAMIENTO HOSPITAL DE CHAITEN.</t>
  </si>
  <si>
    <t>30466394-0</t>
  </si>
  <si>
    <t>CONSTRUCCION SISTEMA AGUA POTABLE RURAL DE TARAHUIN, CHONCHI</t>
  </si>
  <si>
    <t>30484959-0</t>
  </si>
  <si>
    <t>CONSTRUCCION CENTRO DEPORTIVO MUNICIPAL COMUNA DE CHONCHI</t>
  </si>
  <si>
    <t>30126487-0</t>
  </si>
  <si>
    <t>REPOSICION ESCUELA RURAL DE HUILLINCO COMUNA DE CHONCHI</t>
  </si>
  <si>
    <t>30462595-0</t>
  </si>
  <si>
    <t>MEJORAMIENTO AREAS EXTERIORES Y OBRAS COMPLEMENTARIAS CENTRO ADM. REGIONAL, PUERTO MONTT</t>
  </si>
  <si>
    <t>40002877-0</t>
  </si>
  <si>
    <t>MEJORAMIENTO URBANISTICO AVENIDA O´HIGGINS Y AVENIDA SAN MARTIN CASTRO</t>
  </si>
  <si>
    <t>40008282-0</t>
  </si>
  <si>
    <t>REPOSICION SEXTA COMPAÑÍA DE BOMBEROS DE OSORNO</t>
  </si>
  <si>
    <t>40012751-0</t>
  </si>
  <si>
    <t>MEJORAMIENTO ESPACIO PÚBLICO 21 DE MAYO, PURRANQUE</t>
  </si>
  <si>
    <t>40018773-0</t>
  </si>
  <si>
    <t>AMPLIACION SISTEMA AGUA POTABLE RURAL ÑADI PICHIDAMAS, PUYEHUE</t>
  </si>
  <si>
    <t>30280673-0</t>
  </si>
  <si>
    <t>CONSTRUCCION POSTA SALUD RURAL CHAN CHAN, RIO NEGRO</t>
  </si>
  <si>
    <t>30291073-0</t>
  </si>
  <si>
    <t>CONSTRUCCION POSTA DE SALUD RURAL PUCATRIHUE, SAN JUAN DE LA COSTA</t>
  </si>
  <si>
    <t>40015774-0</t>
  </si>
  <si>
    <t>MEJORAMIENTO PAVIMENTO CALLES VILLA SAN ANDRÉS Y LOS TULIPANES, CALBUCO</t>
  </si>
  <si>
    <t>40015770-0</t>
  </si>
  <si>
    <t>MEJORAMIENTO PAVIMENTOS CALLES CARLOS CONDELL, FRAGATA COCHRANE Y LAS VERTIENTES, CALBUCO</t>
  </si>
  <si>
    <t>30479286-0</t>
  </si>
  <si>
    <t>CONSTRUCCION SERVICIO AGUA POTABLE RURAL ISLA QUENU, COMUNA DE CALBUCO.</t>
  </si>
  <si>
    <t>30480526-0</t>
  </si>
  <si>
    <t>CONSTRUCCION SERVICIO AGUA POTABLE RURAL LA CAMPANA, COMUNA DE CALBUCO</t>
  </si>
  <si>
    <t>40015528-0</t>
  </si>
  <si>
    <t>REPOSICION POSTA DE SALUD RURAL LLANADA GRANDE, COMUNA COCHAMO</t>
  </si>
  <si>
    <t>40005745-0</t>
  </si>
  <si>
    <t>REPOSICION CUARTEL PRIMERA COMPAÑÍA DE BOMBEROS DE RIO PUELO, COMUNA DE COCHAMÓ.</t>
  </si>
  <si>
    <t>40021313-0</t>
  </si>
  <si>
    <t>MEJORAMIENTO DIVERSAS CALLES DE FRESIA (EL RINCON-RIO LLICO-TEODORO SCHAFER)</t>
  </si>
  <si>
    <t>30485157-0</t>
  </si>
  <si>
    <t>AMPLIACION SISTEMA APR CASMA HACIA EL ENCANTO Y CALLEJON SIN SALIDA, FRUTILLAR</t>
  </si>
  <si>
    <t>40018868-0</t>
  </si>
  <si>
    <t>REPOSICION CUARTEL GENERAL Y PRIMERA COMPAÑIA DE BOMBEROS LOS MUERMOS</t>
  </si>
  <si>
    <t>40007573-0</t>
  </si>
  <si>
    <t>REPOSICION ESCUELA JOSE ABELARDO NUÑEZ, COMUNA DE MAULLIN</t>
  </si>
  <si>
    <t>30395422-0</t>
  </si>
  <si>
    <t>REPOSICION CANCHA LEPIHUE, COMUNA DE MAULLIN</t>
  </si>
  <si>
    <t>30485331-0</t>
  </si>
  <si>
    <t>MEJORAMIENTO PARQUE CERRO PHILIPPI PUERTO VARAS</t>
  </si>
  <si>
    <t>40005957-0</t>
  </si>
  <si>
    <t>REPOSICION MUSEO MUNICIPAL Y BIBLIOTECA PUBLICA, CASTRO</t>
  </si>
  <si>
    <t>40019386-0</t>
  </si>
  <si>
    <t>REPOSICION E ILUMINACION DE GARITAS EN DIVERSOS SECTORES DE LA COMUNA DE CHONCHI</t>
  </si>
  <si>
    <t>40005352-0</t>
  </si>
  <si>
    <t>REPOSICION POSTA DE SALUD RURAL DE TENAÚN, COMUNA DE DALCAHUE</t>
  </si>
  <si>
    <t>40002386-0</t>
  </si>
  <si>
    <t>MEJORAMIENTO INTEGRAL ESTADIO MUNICIPAL DE QUEILEN</t>
  </si>
  <si>
    <t>30069919-0</t>
  </si>
  <si>
    <t>CONSTRUCCION GIMNASIO ESCUELA ORIENTE DE QUELLÓN</t>
  </si>
  <si>
    <t>40000178-0</t>
  </si>
  <si>
    <t>INSTALACION SISTEMA APR SECTORES CHAILDAD-CHANCO-YATEHUE, QUELLÓN</t>
  </si>
  <si>
    <t>30384235-0</t>
  </si>
  <si>
    <t>CONSTRUCCION CONEXIÓN VIAL SECTOR:PALENA - LAGO PALENA,COMUNA PALENA</t>
  </si>
  <si>
    <t>30270222-0</t>
  </si>
  <si>
    <t>REPOSICION POSTA RURAL DE CORRENTOSO, PUERTO MONTT</t>
  </si>
  <si>
    <t>30080922-0</t>
  </si>
  <si>
    <t>REPOSICION POSTA DE SALUD RURAL DE HUELMO, PUERTO MONTT</t>
  </si>
  <si>
    <t>40012877-0</t>
  </si>
  <si>
    <t>MEJORAMIENTO CALLE ESPAÑA, ENTRE CALLE QUEPE Y AVENIDA JUAN SOLER MANFREDINI, PUERTO MONTT</t>
  </si>
  <si>
    <t>30134234-0</t>
  </si>
  <si>
    <t>CONSTRUCCION GIMNASIO TEN - TEN, COMUNA DE MAULLIN</t>
  </si>
  <si>
    <t>40013905-0</t>
  </si>
  <si>
    <t>MEJORAMIENTO 5 VIAS DE LA CIUDAD DE DALCAHUE</t>
  </si>
  <si>
    <t>40009684-0</t>
  </si>
  <si>
    <t>AMPLIACION DE RED PUBLICA SIST DE AGUA POTABLE Y ALC SECTOR ALCÁZAR COMUNA DE QUELLON</t>
  </si>
  <si>
    <t>30116479-0</t>
  </si>
  <si>
    <t>CONSTRUCCION SISTEMA DE AGUA POTABLE RURAL SECTOR LLAGUEPE, COCHAMO</t>
  </si>
  <si>
    <t>40015801-0</t>
  </si>
  <si>
    <t>REPOSICION ESCUELA RURAL CAPITAN DE BANDADA CARLOS RODRIGUEZ PARIS, LLANADA GRANDE, COCHAMO</t>
  </si>
  <si>
    <t>30135967-0</t>
  </si>
  <si>
    <t>CONSTRUCCION ESTACION DE TRANSFERENCIA LA CAMPANA, CALBUCO</t>
  </si>
  <si>
    <t>30485133-0</t>
  </si>
  <si>
    <t>CONSTRUCCION SISTEMA DE AGUA POTABLE RURAL SECTOR PEDERNAL, FRUTILLAR</t>
  </si>
  <si>
    <t>30485139-0</t>
  </si>
  <si>
    <t>CONSTRUCCION SERVICIO DE APR SECTOR PICHILOPEZ, FRUTILLAR</t>
  </si>
  <si>
    <t>40005289-0</t>
  </si>
  <si>
    <t>MEJORAMIENTO ESPACIO PÚBLICO HUMEDAL EL LOTO, LLANQUIHUE</t>
  </si>
  <si>
    <t>40019095-0</t>
  </si>
  <si>
    <t>CONSERVACION VEREDAS SECTOR CENTRO SUR</t>
  </si>
  <si>
    <t>40019355-0</t>
  </si>
  <si>
    <t>CONSERVACION VEREDAS LOCALIDAD DE CORTE ALTO, COMUNA DE PURRANQUE</t>
  </si>
  <si>
    <t>40014732-0</t>
  </si>
  <si>
    <t>CONSERVACION CAMINOS RURALES Y URBANOS SECTOR TEN TEN Y LA CHACRA PABLO NERUDA</t>
  </si>
  <si>
    <t>40022435-0</t>
  </si>
  <si>
    <t>CONSERVACION PER. CAM. VEC., C. DE CALBUCO, HUALAIHUÉ Y PALENA, REG. DE LOS LAGOS, 2020-2021</t>
  </si>
  <si>
    <t>30359222-0</t>
  </si>
  <si>
    <t>CONSERVACION CAMINOS NO ENROLADOS EN 7 SECTORES DE LA COMUNA DE PUYEHUE</t>
  </si>
  <si>
    <t>40015147-0</t>
  </si>
  <si>
    <t>CONSERVACION ACERAS DIVERSOS SECTORES DE PUERTO VARAS</t>
  </si>
  <si>
    <t>40027009-0</t>
  </si>
  <si>
    <t>CONSERVACION PER. CAM. VEC., C. DE CALBUCO Y MAULLÍN, REG. DE LOS LAGOS, 2020-2021</t>
  </si>
  <si>
    <t>40014315-0</t>
  </si>
  <si>
    <t>CONSERVACION CAMINOS ISLA CAUCAHUE, COMUNA DE QUEMCHI</t>
  </si>
  <si>
    <t>Quemchi</t>
  </si>
  <si>
    <t>40005972-0</t>
  </si>
  <si>
    <t>CONSERVACION CAMINOS NO ENROLADOS 5 SECTORES RURALES DE LA COMUNA DE FRUTILLAR</t>
  </si>
  <si>
    <t>30396424-0</t>
  </si>
  <si>
    <t>CONSERVACION CAMINOS NO ENROLADOS, DIVERSOS SECTORES DE FRESIA</t>
  </si>
  <si>
    <t>40017416-0</t>
  </si>
  <si>
    <t>CONSTRUCCIÓN RED DE AGUA POTABLE Y ALCANTARILLADO CALLE EL CERRO Y PASAJE 1 CAICUMEO</t>
  </si>
  <si>
    <t>30116708-0</t>
  </si>
  <si>
    <t>CONSTRUCCIÓN SISTEMA DE AGUA POTABLE RURAL PUMANZANO</t>
  </si>
  <si>
    <t>40003369-0</t>
  </si>
  <si>
    <t>CONSERVACIÓN CAMINOS RURALES ISLA QUEHUI COMUNA DE CASTRO</t>
  </si>
  <si>
    <t>30080460-0</t>
  </si>
  <si>
    <t>CONSTRUCCIÓN PUENTE EL SARGAZO DE PTO MONTT</t>
  </si>
  <si>
    <t>30453827-0</t>
  </si>
  <si>
    <t>CONSERVACIÓN CNOS VECINALES, GLOSA 7 ETAPA 1, PROVINCIA DE CHILOE</t>
  </si>
  <si>
    <t>30095333-0</t>
  </si>
  <si>
    <t>REPOSICION ESTADIO MUNICIPAL DE CURACO DE VÉLEZ</t>
  </si>
  <si>
    <t>Curaco de Velez</t>
  </si>
  <si>
    <t>30135739-0</t>
  </si>
  <si>
    <t>REPOSICION POSTA DE SALUD RURAL PALQUI, CURACO DE VELEZ</t>
  </si>
  <si>
    <t>30376573-0</t>
  </si>
  <si>
    <t>ACTUALIZACION PLAN MAESTRO AGUAS LLUVIAS OSORNO</t>
  </si>
  <si>
    <t>30376572-0</t>
  </si>
  <si>
    <t>ACTUALIZACION PLAN MAESTRO AGUAS LLUVIAS PUERTO MONTT</t>
  </si>
  <si>
    <t>30083781-0</t>
  </si>
  <si>
    <t>DIAGNOSTICO DEL SISTEMA DE FORTIFICACIONES DE ANCUD</t>
  </si>
  <si>
    <t>40027131-0</t>
  </si>
  <si>
    <t>ANALISIS Y DETERMINACIÓN DE BRECHAS DISPOSICION DE A.P. Y ALC. PROV. OSORNO Y LLANQUIHUE</t>
  </si>
  <si>
    <t>40023990-0</t>
  </si>
  <si>
    <t>DIAGNOSTICO SISTEMA DE TRANSPORTE URBANO CIUDAD DE PUERTO VARAS, ETAPA I</t>
  </si>
  <si>
    <t>30419547-0</t>
  </si>
  <si>
    <t>MEJORAMIENTO INTEGRAL ESCUELA BÁSICA DE DALCAHUE</t>
  </si>
  <si>
    <t>NOTA: Los proyectos con saldos por ejecurar en negativo, se debe a  que el identificado es aumentado por la resolución N°25, tomada de razón 06-04-2021, y el corte de la ejecución es al 31-03-2021.</t>
  </si>
  <si>
    <t>GOBIERNO REGIONAL DE VALPARAISO</t>
  </si>
  <si>
    <t>CONSTRUCCION SUBCOMISARÍA EL BELLOTO, COMUNA DE QUILPUÉ</t>
  </si>
  <si>
    <t>VALPARAISO</t>
  </si>
  <si>
    <t>QUILPUÉ</t>
  </si>
  <si>
    <t>N°5</t>
  </si>
  <si>
    <t>N°27</t>
  </si>
  <si>
    <t>REPOSICION PAVIM. CIRCUITO DE SAN JOSE A AMUNATEGUI, RECREO, VIÑA</t>
  </si>
  <si>
    <t>VIÑA DEL MAR</t>
  </si>
  <si>
    <t>CONSTRUCCION CENTRO DE SALUD RURAL SECTOR OCOA, HIJUELAS</t>
  </si>
  <si>
    <t>HIJUELAS</t>
  </si>
  <si>
    <t>CONSTRUCCION CENTRO DE PRODUCTOS TIPICOS, HIJUELAS</t>
  </si>
  <si>
    <t>ACTUALIZACION PLAN DE REGULADOR COMUNAL DE PAPUDO</t>
  </si>
  <si>
    <t>PAPUDO</t>
  </si>
  <si>
    <t xml:space="preserve">CONSERVACION CESFAM EDUARDO FREI, COMUNA VILLA ALEMANA </t>
  </si>
  <si>
    <t>VILLA ALEMANA</t>
  </si>
  <si>
    <t>MEJORAMIENTO PLAZA DE ARMAS, COMUNA DE PETORCA</t>
  </si>
  <si>
    <t>PETORCA</t>
  </si>
  <si>
    <t>CONSTRUCCION BY PASS RUTA E-85, TRAMO URBANO CUIDAD DE LOS ANDES (PREFACTIBILIDAD)</t>
  </si>
  <si>
    <t>MEJORAMIENTO AV.ARTURO PHILLIPS - GRAN AV. DEL MAR, SANTO DOMINGO</t>
  </si>
  <si>
    <t>SANTO DOMINGO</t>
  </si>
  <si>
    <t>REPOSICION CUARTEL DE INVESTIGACIÓN CRIMINAL LIMACHE (DISEÑO)</t>
  </si>
  <si>
    <t xml:space="preserve">DISEÑO </t>
  </si>
  <si>
    <t>LIMACHE</t>
  </si>
  <si>
    <t>CONSERVACION CONSERVACIÓN VIAL CALLES DE PLAYA ANCHA, ETAPA 2, VALPARAÍSO</t>
  </si>
  <si>
    <t>REPOSICION CUARTEL 5ª CIA DE BOMBEROS CURIMON, SAN FELIPE</t>
  </si>
  <si>
    <t>SAN FELIPE</t>
  </si>
  <si>
    <t>CONSTRUCCION CENTRO COMUNITARIO ADULTO MAYOR ALGARROBO</t>
  </si>
  <si>
    <t>ALGARROBO</t>
  </si>
  <si>
    <t>CONSERVACION ESCUELA JOHN KENNEDY, VIÑA DEL MAR</t>
  </si>
  <si>
    <t>REPOSICION SEDE SOCIAL U.V. N°88, VIÑA DEL MAR</t>
  </si>
  <si>
    <t>CONSERVACION BAÑOS Y DUCHAS ESCUELA E-124, VIÑA DEL MAR</t>
  </si>
  <si>
    <t>REPOSICION DE PAVIMENTACIÓN AVENIDA CARLOS ALESSANDRI, COMUNA DE ALGARROBO</t>
  </si>
  <si>
    <t xml:space="preserve">MEJORAMIENTO PAVIMENTACION AVDA LAS SALINAS DE PULLALLY, ETAPA 1, COMUNA DE PAPUDO </t>
  </si>
  <si>
    <t>CONSTRUCCION SANEAMIENTO SANITARIO CAMPAMENTO MANUEL BUSTOS ETAPA 1A, VIÑA DEL MAR</t>
  </si>
  <si>
    <t>CONSTRUCCION MURO DE CONTENCIÓN EN CALLE LAS HERAS, VIÑA DEL MAR</t>
  </si>
  <si>
    <t>MEJORAMIENTO PAVIMENTO AVENIDA GENERAL BULNES REA¿ACA VIÑA DEL MAR</t>
  </si>
  <si>
    <t>REPOSICION PAVIMENTO CALLE VICUÑA MACKENNA, ZAPALLAR</t>
  </si>
  <si>
    <t>ZAPALLAR</t>
  </si>
  <si>
    <t xml:space="preserve">CONSTRUCCION CENTRO COMUNITARIO UNION COMUNAL ADULTO MAYOR, COMUNA DE CABILDO </t>
  </si>
  <si>
    <t>CABILDO</t>
  </si>
  <si>
    <t>REPOSICION PAVIMENTO CALLE ARTURO PRAT, ZAPALLAR</t>
  </si>
  <si>
    <t xml:space="preserve">MEJORAMIENTO BORDE COSTERO PASEO DEL MAR, SANTO DOMINGO (DISEÑO) </t>
  </si>
  <si>
    <t>CONSTRUCCION PARADEROS RURALES COMUNA DE CABILDO</t>
  </si>
  <si>
    <t>MEJORAMIENTO PAVIMENTACION DE CALLE DE LAS ROCAS, COMUNA DE SANTO DOMINGO</t>
  </si>
  <si>
    <t>DIAGNOSTICO PLAN GESTIÓN RESERVA BIOSFERA LA CAMPANA-PEÑUELAS,R. VALPARAISO</t>
  </si>
  <si>
    <t>AMPLIACION RED AGUA POTABE CALLE CUATRO ESQUINAS, HIJUELAS</t>
  </si>
  <si>
    <t xml:space="preserve">REPOSICION PRIMERA COMPAÑÍA DE BOMBEROS, COMUNA DE ALGARROBO </t>
  </si>
  <si>
    <t>DIAGNOSTICO PLAN DE MANEJO DEL HUMEDAL RIO MAIPO, COMUNA DE SANTO DOMINGO</t>
  </si>
  <si>
    <t xml:space="preserve">REPOSICION ESCUELA LIMACHITO F-377, COMUNA DE LIMACHE </t>
  </si>
  <si>
    <t>CONSERVACION VIAL Y REPARACIÓN ESP. PÚBLICOS AV. MATTA ETAPA 1 VALPO</t>
  </si>
  <si>
    <t>N°6</t>
  </si>
  <si>
    <t>CONSTRUCCION ALCANTARILLADO DE AGUAS SERVIDAS LA TROYA, SAN FELIPE</t>
  </si>
  <si>
    <t xml:space="preserve">CONSTRUCCION ALCANTARILLADO NUEVO RENACER, VALLE DEL REAL LOS ANDES </t>
  </si>
  <si>
    <t>LOS ANDES</t>
  </si>
  <si>
    <t>REPOSICION ESTADIO CENTENARIO COMUNA DE LOS ANDES</t>
  </si>
  <si>
    <t xml:space="preserve">REPOSICION PAVIMENTO TRASLAVIÑA ORIENTAL Y ETCHEVERS, VIÑA DEL MAR </t>
  </si>
  <si>
    <t>REPOSICION CUARTEL TERCERA COMPAÑIA DE BOMBEROS DE LIMACHE</t>
  </si>
  <si>
    <t>N°28</t>
  </si>
  <si>
    <t xml:space="preserve">MEJORAMIENTO PAVIMENTO CALLE EL MOLINO, COMUNA SAN ESTEBAN </t>
  </si>
  <si>
    <t>SAN ESTEBAN</t>
  </si>
  <si>
    <t>N°33</t>
  </si>
  <si>
    <t xml:space="preserve">REPOSICION PAVIMENTOS CALLE BAQUEDANO, COMUNA DE LIMACHE </t>
  </si>
  <si>
    <t>MEJORAMIENTO CIRCUITO DE CALLES VILLA EL SOL Y LA CONCEPCION, CATEMU</t>
  </si>
  <si>
    <t>CATEMU</t>
  </si>
  <si>
    <t>MEJORAMIENTO ALUMBRADO PÚBLICO RURAL PUTAENDO</t>
  </si>
  <si>
    <t>PUTAENDO</t>
  </si>
  <si>
    <t>REPOSICION CUARTEL DE BOMBEROS 2° COMPAÑIA LOS ANDES</t>
  </si>
  <si>
    <t>MEJORAMIENTO PAVIMENTACIÓN AV. EL PERAL, COMUNA EL TABO</t>
  </si>
  <si>
    <t>EL TABO</t>
  </si>
  <si>
    <t>CONSERVACION EDIFICIO ESCUELA DE DERECHO UNIVERSIDAD DE VALPARAÍSO</t>
  </si>
  <si>
    <t>VALPARAÍSO</t>
  </si>
  <si>
    <t>CONSTRUCCION CENTRO PLANETARIO COMUNA DE CALLE LARGA</t>
  </si>
  <si>
    <t>CALLE LARGA</t>
  </si>
  <si>
    <t>N°23</t>
  </si>
  <si>
    <t>CONSTRUCCION SISTEMA ALCANTARILLADO SECTOR EL SAUCE LOS ANDES</t>
  </si>
  <si>
    <t>CONSERVACION COMPLEJO DEPORTIVO JUAN VERA VELASQUEZ, COMUNA DE SANTO DOMINGO</t>
  </si>
  <si>
    <t>REPOSICION LUMINARIAS PUBLICAS DE LA COMUNA DE NOGALES</t>
  </si>
  <si>
    <t>NOGALES</t>
  </si>
  <si>
    <t>AMPLIACION SERVICIO DE AGUA POTABLE RURAL HUALCAPO LAS PALMAS, HIJUELAS</t>
  </si>
  <si>
    <t>MEJORAMIENTO CALLE AVIADOR ACEVEDO, BELLOTO. QUILPUÉ</t>
  </si>
  <si>
    <t>QUILPUE</t>
  </si>
  <si>
    <t>CONSTRUCCION SEDE JUNTA VECINAL NUEVA RPC Y OBRAS C. CONCON</t>
  </si>
  <si>
    <t>CONCON</t>
  </si>
  <si>
    <t>CONSTRUCCION ALCANTARILLADO Y P.E.A.S. SECTOR CALLE ANCHA COMUNA DE SANTA MARIA</t>
  </si>
  <si>
    <t>SANTA MARIA</t>
  </si>
  <si>
    <t>MEJORAMIENTO CIRCUITO CALLE PEDRO MONTT, WENCESLAO VIDAL Y ALBERTO NAVARRO. QUILPUÉ</t>
  </si>
  <si>
    <t>CONSTRUCCION CUARTEL PRIMERA COMPAÑIA DE BOMBEROS DE EL QUISCO</t>
  </si>
  <si>
    <t>EL QUISCO</t>
  </si>
  <si>
    <t>CONSTRUCCION TALLER MONTAJE INDUSTRIAL LICEO SAN ESTEBAN</t>
  </si>
  <si>
    <t>REPOSICION SEDE ADMINISTRATIVA PARQUE NACIONAL LA CAMPANA OLMUE</t>
  </si>
  <si>
    <t>MEJORAMIENTO CALLE PABLO RAMIREZ. QUILPUÉ</t>
  </si>
  <si>
    <t>CONSTRUCCION PAVIMENTACIÓN Y AGUAS LLUVIAS CONEXIÓN QUEBRADA LAS CASAS, COMUNA DE ALGARROBO</t>
  </si>
  <si>
    <t>CONSTRUCCIÓN REDES DE ALCANTARILLADO SECTOR EL PIMIENTO, CALLE LARGA</t>
  </si>
  <si>
    <t>MEJORAMIENTO PAVIMENTACION AVENIDA COSTANERA, SECTOR SAN SEBASTIAN, COMUNA DE CARTAGENA</t>
  </si>
  <si>
    <t>CARTAGENA</t>
  </si>
  <si>
    <t>ACTUALIZACION PLAN DE DESARROLLO COMUNA COMUNA LLAY- LLAY</t>
  </si>
  <si>
    <t>LLAY LLAY</t>
  </si>
  <si>
    <t xml:space="preserve">NORMALIZACION CUARTEL PRIMERA COMPAÑÍA. DE BOMBEROS, LLAY - LLAY </t>
  </si>
  <si>
    <t>NORMALIZACION LICEO POLITÉCNICO COMUNA LLAY LLAY</t>
  </si>
  <si>
    <t>CONSTRUCCION REDES DE ALCANTARILLADO CURIMÓN CENTRO, SAN FELIPE</t>
  </si>
  <si>
    <t>MEJORAMIENTO SEDE SOCIAL JJ.VV POBLACION MORANDE, LLAY-LLAY</t>
  </si>
  <si>
    <t>N°32</t>
  </si>
  <si>
    <t>AMPLIACION ALUMBRADO PUBLICO VARIOS SECTORES RURALES COMUNA DE SAN FELIPE</t>
  </si>
  <si>
    <t>MEJORAMIENTO PAVIMENTACIÓN AVENIDA ALGARROBO, COMUNA DE ALGARROBO</t>
  </si>
  <si>
    <t>DIAGNOSTICO PLAN DE DESARROLLO TURISTICO PROVINCIA MARGA MARGA</t>
  </si>
  <si>
    <t>ACTUALIZACION PLAN REGULADOR COMUNAL, COMUNA LA LIGUA</t>
  </si>
  <si>
    <t>LA LIGUA</t>
  </si>
  <si>
    <t>MEJORAMIENTO ALUMBRADO PUBLICO URBANO PUTAENDO</t>
  </si>
  <si>
    <t>CONSTRUCCION RETÉN PLAYA ANCHA, VALPARAISO</t>
  </si>
  <si>
    <t>CONSTRUCCION EXTENSIÓN RED ALCANTARILLADO CRUCE SAN JUAN, SAN ANTON.</t>
  </si>
  <si>
    <t>SAN ANTONIO</t>
  </si>
  <si>
    <t>CONSTRUCCION CENTRO INTERDISCIPLINARIO DE NEUROCIENCIA, VALPARAISO</t>
  </si>
  <si>
    <t>N°7</t>
  </si>
  <si>
    <t>N°24</t>
  </si>
  <si>
    <t>DIFUSION Y DESARROLLO DE ESCUELAS DEPORTIVAS PARA NIÁ¿OS Y ADOLESCENTES DE VILLA ALEMANA</t>
  </si>
  <si>
    <t>N°8</t>
  </si>
  <si>
    <t>CONSTRUCCION PARQUE DEPORTIVO VELODOROMO REGIONAL VILLA ALEMANA (DISEÑO)</t>
  </si>
  <si>
    <t>CONSTRUCCION RED ALCANTARILLADO CALLE BULNES, OLMUÉ</t>
  </si>
  <si>
    <t>OLMUÉ</t>
  </si>
  <si>
    <t>CONSTRUCCION CENTRO CULTURAL COMUNA DE CONCON</t>
  </si>
  <si>
    <t>CONCÓN</t>
  </si>
  <si>
    <t xml:space="preserve">CONSTRUCCION MURO DE CONTENCIÓN CALLE LOS LIRIOS, VIÑA DEL MAR </t>
  </si>
  <si>
    <t>REPOSICION CUARTEL CUERPO BOMBEROS DE RINCONADA (DISEÑO)</t>
  </si>
  <si>
    <t>RINCONADA</t>
  </si>
  <si>
    <t>AMPLIACION RED DE ALCANTARILLADO VALLE LOS OLMOS, PETORCA (DISEÑO)</t>
  </si>
  <si>
    <t>REPOSICION CUARTEL 8 CÍA. BOMBEROS, VIÑA DEL MAR</t>
  </si>
  <si>
    <t>CONSTRUCCION RED DE ALCANTARILLADO CALLE PORTALES, OLMUE</t>
  </si>
  <si>
    <t>CONSTRUCCION RED DE ALCANTARILLADO SECTOR LO SALAS ALTO, OLMUE</t>
  </si>
  <si>
    <t>MEJORAMIENTO EJE CINCO ORIENTE-QUILLOTA, VIÑA DEL MAR (PREFACTIBILIDAD)</t>
  </si>
  <si>
    <t>CONSTRUCCION MURO DE CONTENCIÓN ESQUINA CALLE UNO - LIBERTAD, VIÑA DEL MAR</t>
  </si>
  <si>
    <t>MEJORAMIENTO ESPACIO PUBLICO BOULEVARD AVENIDA JOSÉ TOMAS URMENETA (DISEÑO)</t>
  </si>
  <si>
    <t>MEJORAMIENTO CALLE CUARTEL, COMUNA DE PETORCA</t>
  </si>
  <si>
    <t>CONSTRUCCION RED ALCANTARILLADO SECTOR CAI CAI ALTO, OLMUE</t>
  </si>
  <si>
    <t>REPOSICION CESFAM VALLE LOS LIBERTADORES, PUTAENDO (DISEÑO)</t>
  </si>
  <si>
    <t>CONSTRUCCION SISTEMA DE AGUA POTABLE RURAL CAMINO VIEJO LO CAMPO, (DISEÑO)</t>
  </si>
  <si>
    <t>PANQUEHUE</t>
  </si>
  <si>
    <t>CONSTRUCCION SUBCOMISARIA FORESTAL ALTO, COMUNA DE VIÑA DEL MAR (DISEÑO)</t>
  </si>
  <si>
    <t>CONSTRUCCION ALCANTARILLADO SECTOR GRANALLAS, PUTAENDO (DISEÑO)</t>
  </si>
  <si>
    <t>CONSTRUCCION PLAZA ALTOS DEL BOSQUE, COMUNA VIÑA DEL MAR (DISEÑO)</t>
  </si>
  <si>
    <t xml:space="preserve">REPOSICION DE SISTEMA DE REDES ELECTRICAS SASIPA SECTOR VAITEA - ISLA DE </t>
  </si>
  <si>
    <t>ISLA DE PASCUA</t>
  </si>
  <si>
    <t>N°12</t>
  </si>
  <si>
    <t>CONSTRUCCION SISTEMA ALCANTARILLADO SECTORES VILCUYA-BOCATOMA, LOS ANDES (DISEÑO)</t>
  </si>
  <si>
    <t>CONSTRUCCION SISTEMA ALCANTARILLADO EL ALGARROBO TERRAPLEN LOS ANDES</t>
  </si>
  <si>
    <t xml:space="preserve">CONSTRUCCION SISTEMA ALCANTARILLADO PARTICULAR VILLA ACONCAGUA LOS ANDES </t>
  </si>
  <si>
    <t xml:space="preserve">CONSTRUCCION SISTEMA ALCANTARILLADO PARTICULAR LOS PEUMOS LOS ANDES </t>
  </si>
  <si>
    <t>MEJORAMIENTO PAVIMENTO EJE VIAL AVDA. ALESSANDRI - AVDA. STA. TERESA COMUNA DE SAN ESTEBAN (DISEÑO)</t>
  </si>
  <si>
    <t>ACTUALIZACION PLADECO COMUNA DE OLMUE</t>
  </si>
  <si>
    <t>MEJORAMIENTO CALLE CONSTITUCION, COMUNA DE QUILPUE</t>
  </si>
  <si>
    <t>CONSTRUCCION EXTENSION REDES ALCANTARILLADO Y AGUA POTABLE, CALLE LOS ARRAYANES, V ALEMANA (DISEÑO)</t>
  </si>
  <si>
    <t>CONSTRUCCION ALCANTARILLADO Y AGUA POTABLE, CALLE LOS EUCALIPTUS, VILLA ALEMANA</t>
  </si>
  <si>
    <t>MEJORAMIENTO PAVIMENTO CALLE HUANHUALI ENTRE CALLE NIEBLA Y TRONCAL SUR, VILLA ALEMANA (DISEÑO)</t>
  </si>
  <si>
    <t xml:space="preserve">REPOSICION DE LA 1RA COMPAÑÍA DE BOMBEROS DE VILLA ALEMANA </t>
  </si>
  <si>
    <t>ACTUALIZACION PLAN DE DESARROLLO COMUNAL LA CALERA 2021-2024</t>
  </si>
  <si>
    <t>LA CALERA</t>
  </si>
  <si>
    <t>ANALISIS PLAN DE DESARROLLO TURISTICO COMUNA DE LA CALERA</t>
  </si>
  <si>
    <t>NORMALIZACION ESCUELA BASICA LA VIÑA, CABILDO (DISEÑO)</t>
  </si>
  <si>
    <t>REPOSICION LUMINARIAS EN QUINQUIMO, PLACILLA Y LA CHIMBA, COMUNA DE LA LIGUA</t>
  </si>
  <si>
    <t>CONSTRUCCION ALCANTARILLADO Y AGUA POTABLE SECTOR LAS CATITAS, COMUNA PUCHUNCAVI</t>
  </si>
  <si>
    <t>PUCHUNCAVÍ</t>
  </si>
  <si>
    <t>MEJORAMIENTO PAVIMENTACIÓN Y AGUAS LLUVIAS ISLA TEJA; CONDELL; SANTA.FILOMENA, QUINTERO</t>
  </si>
  <si>
    <t>QUINTERO</t>
  </si>
  <si>
    <t>CONSERVACION REPARACIONES DE EMERGENCIA ETAPA 3, VARIOS CERROS, VALPARAISO</t>
  </si>
  <si>
    <t>CONSERVACION CESFAM QUEBRADA VERDE PLAYA ANCHA VALPARAISO</t>
  </si>
  <si>
    <t xml:space="preserve">MEJORAMIENTO PAVIMENTACIÓN AVENIDA PRINCIPAL, SECTOR LAGUNA VERDE, COMUNA DE VALPARAISO </t>
  </si>
  <si>
    <t>REPOSICION PAVIMENTACION CALLE INGENIERO HYATT, CERRO CORDILLERA VALPARAISO</t>
  </si>
  <si>
    <t>CONSTRUCCION ARCHIVO REGIONAL DE VALPARAISO (DISEÑO)</t>
  </si>
  <si>
    <t>ACTUALIZACION PLADETUR Y DEFINICION ZOIT COMUNA DE VIÑA DEL MAR</t>
  </si>
  <si>
    <t xml:space="preserve">CONSTRUCCION CUARTEL USAR FT-1 CUERPO DE BOMBEROS DE VIÑA DEL MAR </t>
  </si>
  <si>
    <t>MEJORAMIENTO PASEO CALLE VALPARAISO PONIENTE DE VIÑA DEL MAR</t>
  </si>
  <si>
    <t xml:space="preserve">REPOSICION CIRCUITO CALLE LOS AROMOS  - EL BOLDO VIÑA DE MAR </t>
  </si>
  <si>
    <t>CONSTRUCCION SISTEMA DE AGUA POTABLE RURAL ARTURO PRAT, PANQUEHUE (DISEÑO)</t>
  </si>
  <si>
    <t>RESTAURACION IGLESIA, CONVENTO Y MUSEO COLONIAL SAN FRANCISCO DE CURIMON, SAN FELIPE (DISEÑO)</t>
  </si>
  <si>
    <t>REPOSICION AVDA. YUNGAY Y CALLE ARTEMON CIFUENTES, SAN FELIPE</t>
  </si>
  <si>
    <t>CONSTRUCCION SISTEMA DE ILUMINACION RECINTO CD BOCA JUNIORS, COMUNA DE SANTA MARIA</t>
  </si>
  <si>
    <t xml:space="preserve">CONSTRUCCION SISTEMA DE ILUMINACION RECINTO CD ALIANZA CATOLICA, COMUNA DE SANTA MARIA </t>
  </si>
  <si>
    <t>ACTUALIZACION PLADECO 2021 2025 COMUNA DE PUTAENDO</t>
  </si>
  <si>
    <t>CONSTRUCCION PARQUE URBANO SECTOR EL LITRE , COMUNA DE ALGARROBO</t>
  </si>
  <si>
    <t>MEJORAMIENTO PAVIMENTACION AVENIDA DE LA PLAZA, COMUNA DE CARTAGENA</t>
  </si>
  <si>
    <t>CONSTRUCCION ALCANTAR Y AA.PP LOS PERALES LAURO BARROS SAN ANTONIO</t>
  </si>
  <si>
    <t>MEJORAMIENTO INTEGRAL AERÓDROMO RODELILLO REGION DE VALPARAISO (DISEÑO)</t>
  </si>
  <si>
    <t xml:space="preserve">CONSTRUCCION SISTEMA DE ALCANTARILLADO SECTOR RIECILLO LOS ANDES </t>
  </si>
  <si>
    <t>N°22</t>
  </si>
  <si>
    <t xml:space="preserve">CONSTRUCCION SISTEMA DE ALCANTARILLADO PARTICULAR LAS VIZCACHAS II LOS ANDES </t>
  </si>
  <si>
    <t>INSTALACION DE SISTEMA DE AGUA POTABLE RURAL VILLA DISPUTADA, COMUNA DE NOGALES</t>
  </si>
  <si>
    <t>CONSTRUCCION EXTENSION DE REDES AGUA POTABLE Y ALCANTARILLADO LA LAGUNA, COMUNA DE ZAPALLAR</t>
  </si>
  <si>
    <t>CONSTRUCCION SISTEMA ALCANTARILLADO EL ALGARROBO TERRAPLEN LOS ANDES (DISEÑO)</t>
  </si>
  <si>
    <t>N°9</t>
  </si>
  <si>
    <t>CONSTRUCCION ESTACION DE TRANSFERENCIA DE RESIDUOS SOLIDOS COMUNA DE CABILDO (DISEÑO)</t>
  </si>
  <si>
    <t>CONSTRUCCION SISTEMA ALCANTARILLADO SECTOR GUZMANES, PUTAENDO (DISEÑO)</t>
  </si>
  <si>
    <t>CONSTRUCCION RED DE ALCANTARILLADO PASAJE ARANCIBIA, OLMUE</t>
  </si>
  <si>
    <t>CONSERVACION VIAL Y REPARACIÓN ESP. PÚBLICOS AV. MATTA ETAPA 2 VALPO</t>
  </si>
  <si>
    <t>REPOSICION OFICINA REGISTRO CIVIL DE QUIPUÉ</t>
  </si>
  <si>
    <t>CONSTRUCCION RED DE ALCANTARILLADO DEL SECTOR PLACILLA/LA CHIMBA, COMUNA DE LA LIGUA (DISEÑO)</t>
  </si>
  <si>
    <t>N° 10</t>
  </si>
  <si>
    <t>CONSTRUCCION ALCANTARILLADO Y AGUA POTABLE CHINCOLCO CENTRO, PETORCA (DISEÑO)</t>
  </si>
  <si>
    <t xml:space="preserve">DIAGNOSTICO PLAN MARCO DE DESARROLLO TERRITORIAL VALLES DE CABILDO Y PETORCA </t>
  </si>
  <si>
    <t>CONSTRUCCION CENTRO ARTÍSTICO CULTURAL Y PATRIMONIAL PUTAENDO (DISEÑO)</t>
  </si>
  <si>
    <t>N°13</t>
  </si>
  <si>
    <t>CONSTRUCCION GIMNASIO COMUNAL PANQUEHUE (DISEÑO)</t>
  </si>
  <si>
    <t>RESTAURACION SEGUNDO TRAMO CALLE COMERCIO PUTAENDO (DISEÑO)</t>
  </si>
  <si>
    <t>CONSTRUCCION SISTEMA DE ALCANTARILLADO PARTICULAR LAS VIZCACHAS II LOS ANDES (DISEÑO)</t>
  </si>
  <si>
    <t>MEJORAMIENTO INFRAESTRUCTURA DEPORTIVA CLUB NEW CRUSADERS VALPARAISO (DISEÑO)</t>
  </si>
  <si>
    <t>MEJORAMIENTO SISTEMA DE AGUA POTABLE RURAL PALOMAR INTERIOR, PANQUEHUE (DISEÑO)</t>
  </si>
  <si>
    <t>REPOSICION SISTEMA DE AGUA POTABLE RURAL POBLACION BULNES, PANQUEHUE (DISEÑO)</t>
  </si>
  <si>
    <t>MEJORAMIENTO SISTEMA DE AGUA POTABLE RURAL VILLA LO CAMPO, PANQUEHUE (DISEÑO)</t>
  </si>
  <si>
    <t>MEJORAMIENTO SISTEMA DE AGUA POTABLE RURAL POBLACION 9 DE OCTUBRE, PANQUEHUE (DISEÑO)</t>
  </si>
  <si>
    <t>RESTAURACION CAPILLA LO VICUÑA, COMUNA DE PUTAENDO.</t>
  </si>
  <si>
    <t>CONSTRUCCION COMPLEJO DE PISCINAS MUNICIPALES VILLA OLIMPICA, QUILPUÉ</t>
  </si>
  <si>
    <t>REPOSICION ESTADIO MUNICIPAL DE MIRAFLORES, VIÑA DEL MAR</t>
  </si>
  <si>
    <t>HABILITACION MUSEO UNIVERSITARIO DEL GRABADO, VALPARAÍSO</t>
  </si>
  <si>
    <t>CONSTRUCCION ALCANTARILLADO Y AGUA POTABLE VARIOS SECTORES, PETORCA</t>
  </si>
  <si>
    <t>MEJORAMIENTO ESPACIO PUBLICO AVENIDA BRASIL, COMUNA DE VALPARAISO (DISEÑO)</t>
  </si>
  <si>
    <t>MEJORAMIENTO  ,ESPACIOS PÚBLICOS II ETAPA CENTRO NOGALES</t>
  </si>
  <si>
    <t>CONSERVACION Y REPARACION EDIFICIO ESMERALDA VALPARAISO</t>
  </si>
  <si>
    <t>MEJORAMIENTO SISTEMA DE AGUA POTABLE RURAL LOS LIBERTADORES, PANQUEHUE (DISEÑO)</t>
  </si>
  <si>
    <t>CONSTRUCCION DE POLIDEPORTIVO LIMACHE (DISEÑO)</t>
  </si>
  <si>
    <t>MEJORAMIENTO CALLE MADRID, BELLOTO SUR. QUILPUE</t>
  </si>
  <si>
    <t>CONSTRUCCION PAVIMENTO CALLE CARCEL PARQUE CULTURAL VALPO</t>
  </si>
  <si>
    <t>MEJORAMIENTO PLAZA LAS MARAVILLAS, VIÑA DEL MAR (DISEÑO)</t>
  </si>
  <si>
    <t>CONSTRUCCION MURO DE CONTENCIÓN EN CALLE DARWIN, VIÑA DEL MAR</t>
  </si>
  <si>
    <t>CONSTRUCCION TUNEL LA GRUPA 2 PROV. PETORCA (DISEÑO)</t>
  </si>
  <si>
    <t>NORMALIZACION CONEXIÓN SCAT SAN ANTONIO</t>
  </si>
  <si>
    <t>N°14</t>
  </si>
  <si>
    <t>CONSTRUCCION PLANTA DE GENERACIÓN FOTOVOLTAICA PARA SECTOR VAI A REPA, RAPA NUI</t>
  </si>
  <si>
    <t>MEJORAMIENTO PAVIMENTACIÓN CALLE PERFECTO DE LA FUENTE, RINCONADA</t>
  </si>
  <si>
    <t>REPOSICION CENTRO DE FORMACIÓN ACADÉMICA PERFECTO DE LA FUENTE, RINCONADA (DISEÑO)</t>
  </si>
  <si>
    <t>CONSTRUCCION EXTENSIÓN REDES PÚBLICAS DE ALCANTARILLADO Y EEAS, VILLA RINCONADA, RINCONADA</t>
  </si>
  <si>
    <t>MEJORAMIENTO CALLE COOPERACIÓN (FLAMARIÓN - SAN FRANCISCO DE ASÍS). QUILPUÉ</t>
  </si>
  <si>
    <t>MEJORAMIENTO CIRCUITO CALLES DEL NOGAL, EL LITRE Y DEL PLATERO, POB. ESPERANZA. QUILPUE</t>
  </si>
  <si>
    <t xml:space="preserve">MEJORAMIENTO Y HABILITACIÓN CALLE EL OCASO, BELLOTO SUR. QUILPUÉ </t>
  </si>
  <si>
    <t>REPOSICION PAVIMENTOS CALLE CONDELL, COMUNA DE LIMACHE</t>
  </si>
  <si>
    <t>N° 33</t>
  </si>
  <si>
    <t>MEJORAMIENTO PAVIMENTO CALLE NUEVA HIPÓDROMO, VILLA ALEMANA (DISEÑO)</t>
  </si>
  <si>
    <t xml:space="preserve">NORMALIZACION ESCUELA BASICA VALLE DE ARTIFICIO, CABILDO. (DISEÑO) </t>
  </si>
  <si>
    <t>REPOSICION DE LUMINARIAS PUBLICAS SECTOR VALLE HERMOSO, COMUNA DE LA LIGUA</t>
  </si>
  <si>
    <t>REPOSICION LUMINARIAS PUBLICAS VIAS COLECTORAS, COMUNA DE QUILLOTA</t>
  </si>
  <si>
    <t>QUILLOTA</t>
  </si>
  <si>
    <t>CONSTRUCCION CENTRO INTEGRAL DE VALORIZACIÓN DE RSD, COMUNA DE NOGALES (DISEÑO)</t>
  </si>
  <si>
    <t>CONSTRUCCION ALCANTARILLADO PUBLICO SECTOR SAN CARLOS, COMUNA DE NOGALES</t>
  </si>
  <si>
    <t xml:space="preserve">MEJORAMIENTO PAVIMENTACION CIRCUITO LINCOLN, ARGENTINA, F. EDMANS Y STO DOMIGO, EL TABO </t>
  </si>
  <si>
    <t>ACTUALIZACION PLAN REGULADOR, COMUNA DE PUCHUNCAVI</t>
  </si>
  <si>
    <t>MEJORAMIENTO PAVIMENTACION AVENIDA PEDRO AGUIRRE CERDA, COMUNA DE CARTAGENA</t>
  </si>
  <si>
    <t>MEJORAMIENTO CALLES BALMACEDA, J.J. DEL CANTO E IRARRAZABAL, CATEMU</t>
  </si>
  <si>
    <t>CONSTRUCCION PAVIMENTO CALLE SEPTIMO DE LINEA, CATEMU</t>
  </si>
  <si>
    <t>MEJORAMIENTO PAVIMENTO Y ATRAVIESOS CALLE I.CARRERA PINTO, LLAY -LLAY</t>
  </si>
  <si>
    <t>REPOSICION RECINTO CENTRO COMUNITARIO ESCUADRA II, COMUNA DE SAN FELIPE.</t>
  </si>
  <si>
    <t>REPOSICION SEDE COMUNITARIA EL TAMBO, COMUNA SAN FELIPE</t>
  </si>
  <si>
    <t>REPOSICION PAVIMENTO CALLE BELISARIO MONTENEGRO, SAN FELIPE (DISEÑO)</t>
  </si>
  <si>
    <t xml:space="preserve">REPOSICION MUTICANCHA ESCUELA BUCALEMU, SAN FELIPE </t>
  </si>
  <si>
    <t>MEJORAMIENTO RECINTO CLUB DEPORTIVO LOS HUSARES, COMUNA DE SANTA MARIA</t>
  </si>
  <si>
    <t>N°25</t>
  </si>
  <si>
    <t>CONSTRUCCION POLIDEPORTIVO MUNICIPAL DE CASABLANCA</t>
  </si>
  <si>
    <t>CASABLANCA</t>
  </si>
  <si>
    <t>CONSTRUCCION PAVIMENTACIÓN CALLE SALAS, QUINTERO</t>
  </si>
  <si>
    <t>CONSTRUCCION PAVIMENTACIÓN CALLE JOSE BRITO, QUINTERO</t>
  </si>
  <si>
    <t>CONSTRUCCION SEDE SOCIAL UV 10 ROCUANT, VALPARAISO</t>
  </si>
  <si>
    <t>REPOSICION CUARTEL DUODECIMA COMPAÑÍA DE BOMBEROS VALPARAISO</t>
  </si>
  <si>
    <t>CONSTRUCCION CENTRO OPERATIVO DE VEHÍCULOS DE EMERGENCIA DE INCENDIOS FORESTALES, VALPARAÍSO (DISEÑO)</t>
  </si>
  <si>
    <t>MEJORAMIENTO PAVIMENTACION CIRCUITO LOMAS LATORRE - ACHUPALLAS VIÑA DEL</t>
  </si>
  <si>
    <t>CONSTRUCCION SEDE SOCIAL ASOCIACIÓN DE FÚTBOL GÓMEZ CARREÑO, VIÑA DEL MAR.</t>
  </si>
  <si>
    <t xml:space="preserve">REPOSICION CUARTEL DE BOMBEROS 10 COMPAÑIA, MIRAFLORES DE VIÑA DEL MAR </t>
  </si>
  <si>
    <t>REPOSICION TENENCIA REÑACA, COMUNA DE VIÑA DEL MAR (DISEÑO)</t>
  </si>
  <si>
    <t>REPOSICION CESFAM DE PUCHUNCAVI</t>
  </si>
  <si>
    <t>MEJORAMIENTO PAVIMENTO CIRCUITO LOS ROMEROS COMUNA DE CONCÓN</t>
  </si>
  <si>
    <t xml:space="preserve">CONSTRUCCION PLANTA DE COMPOSTAJE, CASABLANCA </t>
  </si>
  <si>
    <t>CONSTRUCCION SISTEMA DE ALCANTARILLADO SECTOR RIECILLO LOS ANDES (DISEÑO)</t>
  </si>
  <si>
    <t>HABILITACION CASA MUSEO Y CULTURA GABRIELA MISTRAL, LOS ANDES (DISEÑO)</t>
  </si>
  <si>
    <t>RESTAURACION DEL EDIFICIO PONTIFICIA UNIVERSIDAD CATOLICA DE VALPARAISO</t>
  </si>
  <si>
    <t>N°15</t>
  </si>
  <si>
    <t>HABILITACION IMAGENOLOGIA COMPLEJA HOSPITAL EDUARDO PEREIRA, VALPO</t>
  </si>
  <si>
    <t>ANALISIS DIAGNOSTICO ESTRUCTURAL PUENTES VIÑA DEL MAR</t>
  </si>
  <si>
    <t>MEJORAMIENTO PAVIMENTO CALLE SEXTA ENTRE LIMA Y OCTAVA, VILLA ALEMANA</t>
  </si>
  <si>
    <t>CONSTRUCCION ALCANTARILLADO Y AGUA POT.,LA GRUTA, PETORCA</t>
  </si>
  <si>
    <t>CONSTRUCCION PARQUE MIRAVALLE VILLA ALEMANA (DISEÑO)</t>
  </si>
  <si>
    <t>REPOSICION CUARTEL PREFECTURA PROVINCIAL LOS ANDES</t>
  </si>
  <si>
    <t>CONSTRUCCION SISTEMA ALCANTARILLADO RURAL LO CAMPO PANQUEHUE (DISEÑO)</t>
  </si>
  <si>
    <t>RESTAURACION IGLESIA Y CONVENTO SAN FRANCISCO DEL BARÓN, VALPARAÍSO</t>
  </si>
  <si>
    <t xml:space="preserve">CONSTRUCCION CENTRO INTEGRAL DEL ADULTO MAYOR, QUILPUÉ </t>
  </si>
  <si>
    <t>REPOSICION ACELERADOR LINEAL Y BUNKER HCVB</t>
  </si>
  <si>
    <t>MEJORAMIENTO PAVIMENTACIÓN A.V. ERRAZURIZ, COMUNA EL TABO</t>
  </si>
  <si>
    <t>MEJORAMIENTO PAVIMENTACIÓN CIRCUITO VIAL AERÓDROMO, COMUNA DE SANTO DOMINGO</t>
  </si>
  <si>
    <t>MEJORAMIENTO MIRADOR O´HIGGINS, COMUNA DE VALPARAÍSO (DISEÑO)</t>
  </si>
  <si>
    <t>CONSTRUCCION CENTRO COMUNITARIO AGRUPACION JJ.VV. SAN PEDRO. QUILLOTA</t>
  </si>
  <si>
    <t xml:space="preserve">CONSTRUCCCION DE RED DE ALCANTARILLADO Y AGUA POTABLE CALLE SANTA ANA, VILLA ALEMANA  </t>
  </si>
  <si>
    <t xml:space="preserve">CONSTRUCCION RECINTO COMUNITARIO LOS CIPRESES VILLA ALEMANA </t>
  </si>
  <si>
    <t>REPOSICION PAVIMENTO CALLE GERMAN RIESCO, ZAPALLAR</t>
  </si>
  <si>
    <t>CONSTRUCCION ALCANTARILLADO SECTOR LAS PARCELAS - CALLE YUNGAY, COMUNA CARTAGENA</t>
  </si>
  <si>
    <t>CONSTRUCCION ALCANTARILLADO Y AGUA POTABLE SECTOR EL MÉDANO, COMUNA PUCHUNCAVÍ</t>
  </si>
  <si>
    <t xml:space="preserve">CONSTRUCCION RED AGUA POTABLE CALLEJÓN LOS JIMENEZ SAN ESTEBAN </t>
  </si>
  <si>
    <t>HABILITACION CENTRO CULTURAL LA CALERA</t>
  </si>
  <si>
    <t>CONSTRUCCION MUROS DE CONTENCIÓN AV. LOS CARRERA. QUILPUÉ.</t>
  </si>
  <si>
    <t>ACTUALIZACION PLAN REGULADOR COMUNAL, VILLA ALEMANA</t>
  </si>
  <si>
    <t>MEJORAMIENTO PAVIMENTACIÓN CALLE ENRIQUE LAGOS, COMUNA EL TABO</t>
  </si>
  <si>
    <t>REPOSICION CESFAM CURIMON, SAN FELIPE (DISEÑO)</t>
  </si>
  <si>
    <t>REPOSICION ESTADIO MUNICIPAL EL TABO</t>
  </si>
  <si>
    <t xml:space="preserve">CONSTRUCCION CENTRO COMUNITARIO, VILLA EL MIRADOR, QUILPUE  </t>
  </si>
  <si>
    <t>ACTUALIZACION PLAN DE DESARROLLO COMUNAL SAN ESTEBAN</t>
  </si>
  <si>
    <t>REPOSICION PAVIMENTO CALLE PETORQUITA, COMUNA DE HIJUELAS</t>
  </si>
  <si>
    <t xml:space="preserve">CONSTRUCCION CUARTEL DE BOMBEROS 3a COMPAÑÍA, EL RETIRO, QUILPUE. </t>
  </si>
  <si>
    <t>MEJORAMIENTO PUENTE COPIAPO, COMUNA DE HIJUELAS (DISEÑO)</t>
  </si>
  <si>
    <t>MEJORAMIENTO PAVIMENTO Y ATRAVIESOS AV. FERROCARRIL, LLAY-LLAY</t>
  </si>
  <si>
    <t>REPOSICION ESTADIO FISCAL COMUNA PUTAENDO (DISEÑO)</t>
  </si>
  <si>
    <t>CONSTRUCCION MULTICANCHA VILLA PEDRO DE VALDIVIA, COMUNA DE SAN FELIPE</t>
  </si>
  <si>
    <t>REPOSICION SEDE COMUNITARIA VILLA CORDILLERA, COMUNA DE SAN FELIPE</t>
  </si>
  <si>
    <t>REPOSICION LUMINARIAS PÚBLICAS DIVERSOS SECTORES COMUNA DE ALGARROBO</t>
  </si>
  <si>
    <t>REPOSICION CUARTEL 6° COMPAÑÍA DE BOMBEROS DE PANQUEHUE</t>
  </si>
  <si>
    <t>CONSTRUCCION RECINTO COMUNITARIO ASOCIACION DE FUTBOL UNION PEÑA BLANCA, VILLA ALEMANA</t>
  </si>
  <si>
    <t>REPOSICION BIBLIOTECA MUNICIPAL N° 126 DE SAN FELIPE</t>
  </si>
  <si>
    <t>MEJORAMIENTO MIRADORES Y VEREDAS CALLE DINAMARCA, VALPARAISO (DISEÑO)</t>
  </si>
  <si>
    <t>REPOSICION INSTALACIONES DEPORTIVAS PARQUE VISTA AL MAR, COMUNA CONCON</t>
  </si>
  <si>
    <t>CONSTRUCCION COMPLEJO DEPORTIVO MUNICIPAL, COMUNA DE LA CRUZ</t>
  </si>
  <si>
    <t>LA CRUZ</t>
  </si>
  <si>
    <t>REPOSICION PAVIMENTOS LOS PENSAMIENTOS (QUEBR. EXISTENTE-LAGO VILLARICA, REÑACA ALTO, VIÑA</t>
  </si>
  <si>
    <t>REPOSICION PAVIMENTOS CALLE INDEPENDENCIA, COMUNA DE LIMACHE</t>
  </si>
  <si>
    <t>CONSTRUCCION SEDE VECINAL MARIA LUISA BOMBAL, VIÑA DEL MAR</t>
  </si>
  <si>
    <t>MEJORAMIENTO TEATRO MUNICIPAL, LLAY-LLAY</t>
  </si>
  <si>
    <t>REPOSICION CENTRO DEPORTIVO FORTIN FERROVIARIO, COMUNA DE LLAY-LLAY</t>
  </si>
  <si>
    <t>MEJORAMIENTO PAVIMENTACION AVENIDA PEÑABLANCA, COMUNA DE ALGARROBO (DISEÑO)</t>
  </si>
  <si>
    <t>MEJORAMIENTO CALLE SAN FRANCISCO DE ASÍS (ORTIZ VEGA - SOLIDARIDAD). QUILPUÉ</t>
  </si>
  <si>
    <t xml:space="preserve">QUILPUE </t>
  </si>
  <si>
    <t>MEJORAMIENTO PAVIMENTACION AVENIDA SANTA TERESITA, COMUNA DE ALGARROBO (DISEÑO)</t>
  </si>
  <si>
    <t>MEJORAMIENTO CIRCUITO AV. COSTANERA Y CALLE VICENTE PEREZ ROSALES, COMUNA DE ALGARROBO</t>
  </si>
  <si>
    <t>MEJORAMIENTO ESPACIO PUBLICO LONGITUDINAL AVENIDA CURAUMA, VALPARAISO (DISEÑO)</t>
  </si>
  <si>
    <t>MEJORAMIENTO PAVIMENTACIÓN CALLE LA MUNICIPALIDAD COMUNA DE ALGARROBO</t>
  </si>
  <si>
    <t>REPOSICION PAVIMENTO CALLE ANTONIO VARAS, LLAY-LLAY</t>
  </si>
  <si>
    <t>CONSTRUCCION EXTENSIÓN RED ALCANTARILLADO SECTOR EL CANELO, COMUNA DE ALGARROBO</t>
  </si>
  <si>
    <t>MEJORAMIENTO PAVIMENTACIÓN CALLE BERLIN, COMUNA DE CARTAGENA</t>
  </si>
  <si>
    <t>REPOSICION ACERAS CALLE ARLEGUI PONIENTE COMUNA DE VIÑA DEL MAR</t>
  </si>
  <si>
    <t>CONSTRUCCION MURO DE CONTENCIÓN EN CALLE PADRE HURTADO, VIÑA DEL MAR</t>
  </si>
  <si>
    <t>ACTUALIZACION PLADECO 2021-2026 COMUNA DE CARTAGENA</t>
  </si>
  <si>
    <t>ACTUALIZACION PLAN REGULADOR COMUNA DE OLMUE</t>
  </si>
  <si>
    <t>ACTUALIZACION PLAN REGULADOR COMUNAL, COMUNA EL TABO</t>
  </si>
  <si>
    <t>CONSERVACION PAVIMENTOS EN CALLES Y PASAJES DAMERO CENTRAL COMUNA SAN ESTEBAN</t>
  </si>
  <si>
    <t>CONSERVACION VIAL CALLES DE PLAYA ANCHA, ETAPA 1, VALPARAÍSO</t>
  </si>
  <si>
    <t>CONSERVACION INTEGRAL PISCINA MUNICIPAL, CALLE LARGA</t>
  </si>
  <si>
    <t>CONSERVACION JARDIN INFANTIL-SALA CUNA CONCONCITO Y PUENTE COLMO</t>
  </si>
  <si>
    <t>ACTUALIZACION Y DESARROLLO PLAN REGULADOR COMUNAL DE LLAY-LLAY</t>
  </si>
  <si>
    <t>REPOSICION GIMNASIO MUNICIPAL LA CALERA (DISEÑO)</t>
  </si>
  <si>
    <t>REPOSICION PARQUE DEPORTIVO Y RECREATIVO DEL PACÍFICO SAN ANTONIO (DISEÑO)</t>
  </si>
  <si>
    <t>RESTAURACION MONUMENTO NACIONAL BODEGAS PORTUARIAS, PUERTO IBAÑEZ</t>
  </si>
  <si>
    <t>AYSEN DEL GENERAL CARLOS IBAÑEZ DEL CAMPO</t>
  </si>
  <si>
    <t>RIO IBAÑEZ</t>
  </si>
  <si>
    <t>CONSTRUCCION ALCANTARILLADO Y TRATAMIENTOS AGUAS SERVIDAS EN TORTEL</t>
  </si>
  <si>
    <t>TORTEL</t>
  </si>
  <si>
    <t>RESTAURACION MONUMENTO NACIONAL CONSTRUCCIONES SOC. INDUSTRIAL AYSEN</t>
  </si>
  <si>
    <t>COYHAIQUE</t>
  </si>
  <si>
    <t>CONSTRUCCION RELLENO SANITARIO CHILE CHICO</t>
  </si>
  <si>
    <t>CHILE CHICO</t>
  </si>
  <si>
    <t>REPOSICION EDIFICIO CONSISTORIAL DE RIO IBAÑEZ</t>
  </si>
  <si>
    <t>REPOSICION CENTRO REHABILITACIÓN CLUB LEONES</t>
  </si>
  <si>
    <t>CONSTRUCCION CENTRO DE MANEJO RESIDUOS SÓLIDOS ISLA LAS HUICHAS</t>
  </si>
  <si>
    <t>AYSEN</t>
  </si>
  <si>
    <t>REPOSICION GIMNACIO PUERTO AGUIRRE</t>
  </si>
  <si>
    <t>MEJORAMIENTO RUTA 265 SECTOR ACCESOBAHIAJARA - CHILE CHICO</t>
  </si>
  <si>
    <t>MEJORAMIENTO RUTA 7 SUR: SECTOR  CERRO CASTILLO-ALCANTARILLA CASCADA</t>
  </si>
  <si>
    <t>REPOSION POSTA SALUD RURAL DE CALETA ANDRADE, AYSEN</t>
  </si>
  <si>
    <t>CONSTRUC.OBRAS DE CIERRE SITIO DISPOSICION RESIDUOS DE TORTEL</t>
  </si>
  <si>
    <t>CONSTRUCCION OBRAS DE CIERRE PROGRESIVO VERTEDERO DE COCHRANE</t>
  </si>
  <si>
    <t>COCHRANE</t>
  </si>
  <si>
    <t>REPOSICION ESTADIO ATLÉTICO DE COYHAIQUE</t>
  </si>
  <si>
    <t>CONSTRUCCION SOLUCIONES SANITARIAS PUERTO RAÚL MARÍN BALMACEDA</t>
  </si>
  <si>
    <t>CISNES</t>
  </si>
  <si>
    <t>REPOSICION PSR BAHIA MURTA, IBAÑEZ</t>
  </si>
  <si>
    <t>REPOSICION POSTA DE SALUD RURAL LA TAPERA, LAGO VERDE</t>
  </si>
  <si>
    <t>LAGO VERDE</t>
  </si>
  <si>
    <t>CONSTRUCCION ENROCADO Y AREAS VERDES COSTANERA CONDELL, PUERTO AYSEN</t>
  </si>
  <si>
    <t>CONSTRUCCION MIRADORES DE LA REGION</t>
  </si>
  <si>
    <t>REPOSICION ESCUELA DIFERENCIAL DESPERTAR, COMUNA DE AYSEN</t>
  </si>
  <si>
    <t xml:space="preserve">REPOSICION PARCIAL ESCUELA VICTOR DOMINGO SILVA, COYHAIQUE </t>
  </si>
  <si>
    <t>CONSTRUCCION CENTRO DE FAENAMIENTO PARA AUTOCONSUMO, VILLA OHIGGINS</t>
  </si>
  <si>
    <t>REPOSICION PLAZA DEPORTIVA RAÚL BECKER DE PUERTO CISNES</t>
  </si>
  <si>
    <t>HABILITACION UNIDAD DE RESONANCIA MAGNÉTICA HR COYHAIQUE</t>
  </si>
  <si>
    <t>REPOSICION CUARTEL DE BOMBEROS CHILE CHICO</t>
  </si>
  <si>
    <t>MEJORAMIENTO ESTADIO ANFA PUERTO AYSÉN- COMUNA DE AYSÉN</t>
  </si>
  <si>
    <t>MEJORAMIENTO MULTICANCHA CAMILO HENRIQUEZ DE LA JUNTA, CISNES</t>
  </si>
  <si>
    <t>MEJORAMIENTO MULTICANCHA LOS COLONOS, PUERTO CISNES</t>
  </si>
  <si>
    <t>CONSTRUCCION INFRAESTRUCTURA FUNDACIONAL UNIVERSIDAD DE AYSÉN</t>
  </si>
  <si>
    <t>CONSTRUCCION CANCHA CLUB CERRO PORTEÑO</t>
  </si>
  <si>
    <t>MEJORAMIENTO CANCHA CLUB DEPORTIVO EL SALTO, COYHAIQUE</t>
  </si>
  <si>
    <t>CONSTRUCCION SOLUCIONES ELECTRICAS FOTOVOLTAICAS SECTOR VALLELAGUNAS, COMUNA DE AYSEN</t>
  </si>
  <si>
    <t>CONSTRUCCION ELECTRIFICACION RURAL PICAFLOR 2, MAÑIHUALES, COMUNA DE AYSEN</t>
  </si>
  <si>
    <t>CONSTRUCCION EXTENSIÓN RED ELÉCTRICA RURAL SECTOR LAGUNA ESMERALDA</t>
  </si>
  <si>
    <t>PERFIL</t>
  </si>
  <si>
    <t>CONSTRUCION RED DE ALCANTARILLADO Y PLANTA DE TRATAMIENTO DE AGUAS SEREVIDAS LAGO VERDE</t>
  </si>
  <si>
    <t>REPOSICION EDIFICIO CONSISTORIAL MUNICIPALIDAD DE OHIGGINS</t>
  </si>
  <si>
    <t>MEJORAMIENTO RUTA 7 NORTE, SECTOR PANGUE-LAGO RISOPATRÓN-PUYUHUAPI, REGION DE AYSEN</t>
  </si>
  <si>
    <t>CONST.CENTRO ARTESANAL DE COYHAIQUE</t>
  </si>
  <si>
    <t>CONSERVACION SISTEMA DE RECOLECCION Y TRATAMIENTO DE AGUAS SERVIDAS VILA MAÑIHUALES</t>
  </si>
  <si>
    <t>MEJORAMIENTO RUTA 7 NORTE, FIORDO QUEULAT-PTE CHUCAO, COMUNA DE CISNES</t>
  </si>
  <si>
    <t>CONSERVACION VIAS URBANAS CAMINO LAGO ATRAVESADO Y CAMINO LOS ALAMOS CERRO NEGRO</t>
  </si>
  <si>
    <t>CONSERVACION GIMNACIO ESCUELA GABRIELA MISTRAL, PUERTO RIO TRANQUILO</t>
  </si>
  <si>
    <t xml:space="preserve">CONSERVACION ESCUELA AYSEN, PUERTO AYSEN,COMUNA DE AYSEN </t>
  </si>
  <si>
    <t>CONSERVACION CASA DE ACOGIDA PACIENTES TRASLADADOS HOSPITAL DE COYHAIQUE</t>
  </si>
  <si>
    <t>CONSERVACION ESCUELA JOSE ANTOLIN SILVA ORMEÑO DE BALMACEDA</t>
  </si>
  <si>
    <t>CONSERVACIO DIVERSAS VIAS URBANAS DE LA CIUDAD DE COYHAIQUE, SECTOR CENTRO</t>
  </si>
  <si>
    <t>REPOSICION HOSPITAL COCHRANE, XI REGION</t>
  </si>
  <si>
    <t>CONSTRUC.ALCANTARILLADO Y CASETAS SANITARIAS PTO.BERTRAND</t>
  </si>
  <si>
    <t>CONSTRUCCION CENTRO GESTION DE RESIDUOS SOLIDOS COCHRANE-TORTEL</t>
  </si>
  <si>
    <t>REPOSICION POSTA DE SALUD RURAL EL GATO, COYHAIQUE</t>
  </si>
  <si>
    <t>REPOSICION POSTA DE SALUD RURAL CERRO CASTILLO, RIO IBAÑEZ</t>
  </si>
  <si>
    <t>CONSTRUCCION CENTRO DE REHABILITACIÓN VILLA MAÑIHUALES</t>
  </si>
  <si>
    <t>CONSTRUCCION CENTRO DE GESTIÓN DE RES.SOLIDOS, CUENCA GRAL. CARRERA,CHILE CHICO-RÍO IBÁÑEZ</t>
  </si>
  <si>
    <t>AMPLIACION ALCANTARILLADO DE AGUAS SERVIDAS COSTANERA CONDELL, PUERTO AYSEN</t>
  </si>
  <si>
    <t>REPOSICION CUARTEL PRIMERA COMPAÑÍA CUERPO DE BOMBEROS COYHAIQUE</t>
  </si>
  <si>
    <t>CONSTRUCCION ALCANTARILLADO Y A.P, MALLIN GRANDE, COMUNA DE CHILE CHICO</t>
  </si>
  <si>
    <t>ESTUDIO</t>
  </si>
  <si>
    <t>ACTUALIZACION PLAN MAESTRO DE GESTIÓN DE TRÁNSITO PUERTO AYSEN</t>
  </si>
  <si>
    <t>DIAGNOSTICO -PMDT- LITORAL COMUNA CISNES</t>
  </si>
  <si>
    <t>ANALISIS Y DESARRO DEL PLAN MAEST DE GESTIÓN DE TTO. SAN JAVIER</t>
  </si>
  <si>
    <t>REGION DEL MAULE</t>
  </si>
  <si>
    <t>SAN JAVIER</t>
  </si>
  <si>
    <t>MEJORAMIENTO PAR VIAL 1 ORIENTE - 2 PONIENTE Y RED CENTRO EN TALCA</t>
  </si>
  <si>
    <t>TALCA</t>
  </si>
  <si>
    <t>REPOSICION C.G.R YERBAS BUENAS.</t>
  </si>
  <si>
    <t>YERBAS BUENAS</t>
  </si>
  <si>
    <t>HABILITACION TEATRO MUNICIPAL CAUQUENES</t>
  </si>
  <si>
    <t>CAUQUENES</t>
  </si>
  <si>
    <t>MEJORAMIENTO EJE MAIPU , J. ESPINOZA Y CARMEN DE LINARES</t>
  </si>
  <si>
    <t>LINARES</t>
  </si>
  <si>
    <t>RESTAURACION PARROQUIA SAN IGNACIO EMPEDRADO</t>
  </si>
  <si>
    <t>EMPEDRADO</t>
  </si>
  <si>
    <t>REPOSICION Y EQUIPAMIENTO SERVICIO MEDICO LEGAL TALCA</t>
  </si>
  <si>
    <t>PROV. TALCA</t>
  </si>
  <si>
    <t>MEJORAMIENTO EJES AV.LIRCAY / 9 NORTE TALCA</t>
  </si>
  <si>
    <t>REPOSICION DIRECCION REGIONAL DEL IND REGION MAULE</t>
  </si>
  <si>
    <t xml:space="preserve">CONSTRUCCION CENTRO CULTURAL Y SOCIAL DEPORTISTA MAYOR </t>
  </si>
  <si>
    <t>MEJORAMIENTO INTEGRAL DE ACERAS SECTOR 1, TALCA</t>
  </si>
  <si>
    <t>MEJORAMIENTO INTEGRAL DE ACERAS SECTOR 9, TALCA</t>
  </si>
  <si>
    <t>RESTAURACION ESCUELA PRESIDENTE JOSÉ MANUEL BALMACEDA CURICO</t>
  </si>
  <si>
    <t>CURICO</t>
  </si>
  <si>
    <t>RESTAURACION Y PUESTA EN VALOR VILLA CULTURAL HUILQUILEMU. TALCA</t>
  </si>
  <si>
    <t>RESTAURACION Y PUESTA EN VALOR INTENDENCIA REGIONAL DEL MAULE-TALCA</t>
  </si>
  <si>
    <t>MEJORAMIENTO GIMNASIO MUNICIPAL, EMPEDRADO</t>
  </si>
  <si>
    <t>REPOSICION TEATRO MUNICIPAL,CONSTITUCION</t>
  </si>
  <si>
    <t>CONSTITUCION</t>
  </si>
  <si>
    <t>CONSTRUCCION PISCINA TEMPERADA DE TALCA</t>
  </si>
  <si>
    <t>CONSTRUCCION POLIDEPORTIVO PARA LA COMUNA DE TENO</t>
  </si>
  <si>
    <t>TENO</t>
  </si>
  <si>
    <t>CONSTRUCCION ESTACIÓN TRANSFERENCIA RESIDUOS SÓLIDOS,CONSTITUCION.</t>
  </si>
  <si>
    <t>REPARACION MAYOR SANTUARIO EL CARMEN CURICO</t>
  </si>
  <si>
    <t>REPOSICION Y AMPLIACION HOGAR DE ANCIANOS SAN CAMILO, LINARES</t>
  </si>
  <si>
    <t>CONSTRUCCION CAMPAMENTOS INVERNALES DE VIALIDAD PASO PEHUENCHE</t>
  </si>
  <si>
    <t>CONSTRUCCION POLIDEPORTIVO COMUNA YERBAS BUENAS</t>
  </si>
  <si>
    <t>RESTAURACION Y PUESTA EN VALOR LICEO VIEJO DE TENO</t>
  </si>
  <si>
    <t>REPOSICION CONSULTORIO RURAL DE PENCAHUE</t>
  </si>
  <si>
    <t>PENCAHUE</t>
  </si>
  <si>
    <t>MEJORAMIENTO MANUEL RODRÍGUEZ Y CALLE EL BOSQUE, LINARES</t>
  </si>
  <si>
    <t>MEJORAMIENTO EJE AVENIDA DIEGO PORTALES 2° ETAPA, CURICO</t>
  </si>
  <si>
    <t>MEJORAMIENTO Y AMPLIACIÓN SERVICIO APR LA CHIRIPA, COLBUN</t>
  </si>
  <si>
    <t>COLBUN</t>
  </si>
  <si>
    <t>MEJORAMIENTO ACCESIBILIDAD SECTOR CAMINO A ZAPALLAR, CURICO</t>
  </si>
  <si>
    <t>NORMALIZACION CON EQUIPAMIENTO ESCUELA CARLOS SALINAS LAGOS, TALCA</t>
  </si>
  <si>
    <t>NORMALIZACION CON EQUIP ESC. JOSE MANUEL BALMACEDA Y FERNÁNDEZ, TALCA</t>
  </si>
  <si>
    <t>CONSTRUCCION SISTEMA APR EL PEÑASCO-LLEPO, LINARES</t>
  </si>
  <si>
    <t>REPOSICION ALUMBRADO PUBLICO, COMUNA VICHUQUEN</t>
  </si>
  <si>
    <t>VICHUQUEN</t>
  </si>
  <si>
    <t>CONSTRUCCION CIERRE VERTEDERO MUNICIPAL COMUNA DE RIO CLARO</t>
  </si>
  <si>
    <t>RIO CLARO</t>
  </si>
  <si>
    <t>CONSERVACION EDIFICIO SECREDUC REGIÓN DEL MAULE</t>
  </si>
  <si>
    <t>RESTAURACION MERCADO CENTRAL MUNICIPAL DE TALCA</t>
  </si>
  <si>
    <t>CONSTRUCCION CENTRO DE SALUD FAMILIAR MOLINA</t>
  </si>
  <si>
    <t>MOLINA</t>
  </si>
  <si>
    <t>AMPLIACION Y NORMALIZACION  CEMENTERIO MUNICIPAL COLIN,  MAULE</t>
  </si>
  <si>
    <t>MAULE</t>
  </si>
  <si>
    <t>CONSTRUCCION POSTA DE SALUD RURAL SEMILLERO, COMUNA DE YERBAS BUENAS</t>
  </si>
  <si>
    <t>CONSTRUCCION POSTA DE SALUD RURAL PALMA ROSA, COMUNA DE PARRAL</t>
  </si>
  <si>
    <t>PARRAL</t>
  </si>
  <si>
    <t>REPOSICION CON RELOCALIZACION PSR SAN ALEJO, COMUNA DE PARRAL</t>
  </si>
  <si>
    <t>REPOSICION CON AMPLIACIÓN LICEO ENTRE RIOS, SAN CLEMENTE</t>
  </si>
  <si>
    <t>SAN CLEMENTE</t>
  </si>
  <si>
    <t>CONSTRUCCION SISTEMA DE EVAC, DE A.LL. COLECTOR CHOAPA-LOA, CURICÓ</t>
  </si>
  <si>
    <t>CONSTRUCCION PASO BAJO NIVEL 6 SUR Y OBRAS COMPL PAR VIAL TALCA</t>
  </si>
  <si>
    <t>CONSTRUCCION ESTADIO PAHUIL COMUNA DE CHANCO</t>
  </si>
  <si>
    <t>CHANCO</t>
  </si>
  <si>
    <t>REPOSICION ALUMBRADO PUBLICO COMUNA DE PARRAL</t>
  </si>
  <si>
    <t>CONSERVACION CCBB RUTAS L-409 y L-335, COMUNAS DE LINARES Y COLBUN</t>
  </si>
  <si>
    <t>PROV. LINARES</t>
  </si>
  <si>
    <t>CONSERVACION CCBB RUTA J-680, TRAMO KM. 16,0 AL KM. 21,1, COMUNA DE RAUCO</t>
  </si>
  <si>
    <t>RAUCO</t>
  </si>
  <si>
    <t>MEJORAMIENTO PLAZA POBLACION ARRAU MENDEZ, PARRAL</t>
  </si>
  <si>
    <t>CONSERVACION DE VÍAS URBANAS, VARIOS SECTORES COMUNA DE LICANTEN</t>
  </si>
  <si>
    <t>LICANTEN</t>
  </si>
  <si>
    <t>CONSERVACION DE VÍAS URBANAS, VARIOS SECTORES COMUNA CURICO, LINEA 1</t>
  </si>
  <si>
    <t>CONSERVACION DE VÍAS URBANAS, VARIOS SECTORES COMUNA DE MOLINA</t>
  </si>
  <si>
    <t>CONSERVACION DE VIAS URBANAS, VARIOS SECTORES COMUNA TALCA, LINEA 1</t>
  </si>
  <si>
    <t>CONSERVACION DE VÍAS URBANAS, VARIOS SECTORES COMUNA DE RÍO CLARO</t>
  </si>
  <si>
    <t>CONSERVACION DE VIAS URBANAS, COMITE ABATE MOLINA Nº 14, COMUNA DE TALCA</t>
  </si>
  <si>
    <t>MEJORAMIENTO ACCESO NORTE Y CENTRO, SAN CLEMENTE</t>
  </si>
  <si>
    <t>MEJORAMIENTO PAVIMENTO CALZADA CALLE CIRO BOETTO, LICANTÉN</t>
  </si>
  <si>
    <t>REPOSICION COMPLEJO POLICIAL PDI CURICO</t>
  </si>
  <si>
    <t>CONSTRUCCION PAVIMENTOS EN VILLA SAN DOMINGO DE SAN MANUEL</t>
  </si>
  <si>
    <t>CONSERVACION CCBB RUTAS K-420, K-540, SK-279 Y K-260, COMUNA DE PENCAHUE</t>
  </si>
  <si>
    <t>CONSERVACION RUTA L-621, TRAMO KM. 0.0 AL KM. 9.45, COMUNA DE RETIRO</t>
  </si>
  <si>
    <t>RETIRO</t>
  </si>
  <si>
    <t>CONSTRUCCION DE CALZADAS Y ACERAS  EN NIRIVILO URBANO, COMUNA DE SAN JAVIER</t>
  </si>
  <si>
    <t>MEJORAMIENTO BANDEJÓN CENTRAL AVENIDA  LEÓN BUSTOS, LINARES</t>
  </si>
  <si>
    <t>CONSTRUCCION Y HABILITACIÓN  SALA CUNA Y JARDÍN INFANTIL LOS CHIQUITINES, TALCA.</t>
  </si>
  <si>
    <t>CONSERVACION CCBB RUTAS J-546, SR019 Y J-699, COMUNA DE CURICO</t>
  </si>
  <si>
    <t>CONSERVACION CCBB RUTA L-830, TRAMO KM. 0,0 AL KM. 11,244, COMUNA DE PARRAL</t>
  </si>
  <si>
    <t>REPOSICION CUARTEL 7º COMPAÑIA DE BOMBEROS DE TALCA</t>
  </si>
  <si>
    <t>CONSERVACION CCBB RUTAS K-579 Y K-551, COMUNA DE SAN CLEMENTE</t>
  </si>
  <si>
    <t>CONSTRUCCION SISTEMA ALUMBRADO PÚBLICO VARIOS SECTORES, SAN CLEMENTE</t>
  </si>
  <si>
    <t>CONSERVACION RUTA SK-475, MAITENES INTERIOR, COMUNA DE RIO CLARO</t>
  </si>
  <si>
    <t>AMPLIACION CENTRO DE REINSERCIÓN SOCIAL DE  TALCA</t>
  </si>
  <si>
    <t>CONSERVACION RUTA L-810, TRAMO KM. 9.70 AL KM. 19.40, COMUNA DE PARRAL</t>
  </si>
  <si>
    <t>CONSERVACION RUTA L-870, TRAMO KM. 0.00 AL KM. 5.50, COMUNA DE PARRAL</t>
  </si>
  <si>
    <t>MEJORAMIENTO CALLE SILVESTRE URIZAR, SAN CLEMENTE</t>
  </si>
  <si>
    <t>CONSERVACION DIVERSOS CALLEJONES DE LA COMUNA DE COLBUN</t>
  </si>
  <si>
    <t>CONSERVACION UNIDAD ONCOLOGÍA AMBULATORIA HOSPITAL REGIONAL DE TALCA, SSMAULE</t>
  </si>
  <si>
    <t>CONSTRUCCION PAVIMENTOS VILLA SAN LUIS DE ALQUIHUE, COMUNA DE SAN JAVIER</t>
  </si>
  <si>
    <t>MEJORAMIENTO BANDEJON 30 ORIENTE ENTRE CALLES 4 Y 8 SUR, TALCA.</t>
  </si>
  <si>
    <t>CONSTRUCCION SEDE ORGANIZACIONES COMUNITARIAS DE PENCAHUE</t>
  </si>
  <si>
    <t>CONSERVACION PAVIMENTO CALZADAS Y VEREDAS SECTOR RODOVIARIO, TALCA</t>
  </si>
  <si>
    <t>MEJORAMIENTO CALLE N°14, PELLUHUE</t>
  </si>
  <si>
    <t>PELLUHUE</t>
  </si>
  <si>
    <t>MEJORAMIENTO CALLE DE SERVICIO COSTANERA DE PELLUHUE</t>
  </si>
  <si>
    <t>CONSERVACION ESTADIO FISCAL MANUEL MOYA MEDEL, CAUQUENES</t>
  </si>
  <si>
    <t>CONSTRUCCION MUELLE CANOTAJE CONSTITUCION</t>
  </si>
  <si>
    <t>CONSERVACION DE VÍAS URBANAS, SECTOR ABATE MOLINA, COMUNA DE TALCA</t>
  </si>
  <si>
    <t>CONSERVACION CALLEJONES SECTOR NORTE DE LA COMUNA DE COLBÚN</t>
  </si>
  <si>
    <t>MEJORAMIENTO CBI RUTA J-850, SECTOR VILLA LOS CULENES, KM. 0,0 AL 0,547; COMUNA DE VICHUQUEN</t>
  </si>
  <si>
    <t>CONSERVACION DE VÍAS URBANAS, SECTOR SUR ORIENTE, COMUNA DE  TALCA</t>
  </si>
  <si>
    <t>CONSERVACION DE VÍAS URBANAS, SECTOR SUR PONIENTE, COMUNA DE  TALCA</t>
  </si>
  <si>
    <t>MEJORAMIENTO RUTA J-25, SECTOR EL MANZANO, TRAMO KM. 18,77 AL KM. 23,77; PROVINCIA DE CURICO</t>
  </si>
  <si>
    <t>CONSTRUCCION ALCANTARILLADO SECTOR PONIENTE DE LAMPA</t>
  </si>
  <si>
    <t>Metropolitana</t>
  </si>
  <si>
    <t>MUNICIPALIDAD DE LAMPA</t>
  </si>
  <si>
    <t>Arrastre</t>
  </si>
  <si>
    <t>CONSTRUCCION URBANIZACIÓN Y LOTEO VILLORRIO HOSPITAL 2000, PAINE</t>
  </si>
  <si>
    <t>MUNICIPALIDAD DE PAINE</t>
  </si>
  <si>
    <t>REPOSICION EDIFICIO CONSISTORIAL DE COMUNA DE EL BOSQUE, ETAPA II</t>
  </si>
  <si>
    <t>MUNICIPALIDAD DE EL BOSQUE</t>
  </si>
  <si>
    <t>CONSTRUCCION CIRCUITO POLIDEPORTIVO URBANO DE CERRILLOS</t>
  </si>
  <si>
    <t>MUNICIPALIDAD DE CERRILLOS</t>
  </si>
  <si>
    <t>AMPLIACION CASA DE LA MUJER EMPRENDEDORA DE HUAMACHUCO RENCA</t>
  </si>
  <si>
    <t>GOBIERNO REGIONAL - REGION METROPOLITANA DE SANTIAGO</t>
  </si>
  <si>
    <t>CONSTRUCCION PARQUE CULTURAL INDÍGENA PUCARA DE CHENA</t>
  </si>
  <si>
    <t>ARQUITECTURA MOP REGION METROPOLITANA DE SANTIAGO</t>
  </si>
  <si>
    <t>AMPLIACION Y REMODELACION CENTRO PENITENCIARIO FEMENINO, SANTIAGO</t>
  </si>
  <si>
    <t>GENDARMERIA REGION METROPOLITANA DE SANTIAGO</t>
  </si>
  <si>
    <t>CONSTRUCCION CENTRO DE SALUD FAMILIAR LA REINA, COLINA</t>
  </si>
  <si>
    <t>MUNICIPALIDAD DE COLINA</t>
  </si>
  <si>
    <t>AMPLIACION DE OFICINA REGISTRO CIVIL DE CERRO NAVIA</t>
  </si>
  <si>
    <t>REGISTRO CIVIL REGION METROPOLITANA DE SANTIAGO</t>
  </si>
  <si>
    <t>CONSERVACION GRADAS REDUCTORAS DE AGUAS</t>
  </si>
  <si>
    <t>MUNICIPALIDAD DE BARNECHEA</t>
  </si>
  <si>
    <t>CONSTRUCCION COMPLEJO DEPORTIVO COMUNA DE PIRQUE</t>
  </si>
  <si>
    <t>MUNICIPALIDAD DE PIRQUE</t>
  </si>
  <si>
    <t>CONSTRUCCION PISCINA TEMPERADA COSTANERA SUR CERRO NAVIA</t>
  </si>
  <si>
    <t>MUNICIPALIDAD DE CERRO NAVIA</t>
  </si>
  <si>
    <t>REPOSICION CUARTEL 2DA. COMPAÑIA DE BOMBEROS DE LA COMUNA DE BUIN</t>
  </si>
  <si>
    <t>MUNICIPALIDAD DE BUIN</t>
  </si>
  <si>
    <t>REPOSICION CENTRO DE SALUD RECOLETA, RECOLETA</t>
  </si>
  <si>
    <t>MUNICIPALIDAD DE RECOLETA</t>
  </si>
  <si>
    <t>MEJORAMIENTO COMPLEJO DEPORTIVO ESTADIO MUNICIPAL SAN JOSE DE MAIPO</t>
  </si>
  <si>
    <t>MUNICIPALIDAD DE SAN JOSE DE MAIPO</t>
  </si>
  <si>
    <t>CONSERVACION VEREDAS PARA DIFERENTES CALLES DE ESTACION CENTRAL</t>
  </si>
  <si>
    <t>MUNICIPALIDAD DE ESTACION CENTRAL</t>
  </si>
  <si>
    <t>CONSTRUCCION PISCINA TEMPERADA SEMIOLIMPICA COMUNA DE SAN JOAQUIN</t>
  </si>
  <si>
    <t>MUNICIPALIDAD DE SAN JOAQUIN</t>
  </si>
  <si>
    <t>RESTAURACION MONUMENTO HISTÓRICO IGLESIA LA VIÑITA, RECOLETA</t>
  </si>
  <si>
    <t>MEJORAMIENTO DE ACERAS PEATONALES Y ESPACIOS PUBLICOS DE LA CISTERNA</t>
  </si>
  <si>
    <t>MUNICIPALIDAD DE LA CISTERNA</t>
  </si>
  <si>
    <t>CONSTRUCCION COLECTOR AGUAS LLUVIAS AV.SANTA RAQUEL, LA FLORIDA</t>
  </si>
  <si>
    <t>MUNICIPALIDAD DE LA FLORIDA</t>
  </si>
  <si>
    <t>CONSERVACION VIAL AVENIDAS PRINCIPALES DE LAMPA ETAPA 2: SECTOR SUR</t>
  </si>
  <si>
    <t>CONSERVACION OFICINA REGISTRO CIVIL DE LA PINTANA</t>
  </si>
  <si>
    <t>CONSTRUCCION RED SECUNDARIA ALCANTARILLADO PUBLICO, ISLA DE MAIPO</t>
  </si>
  <si>
    <t>MUNICIPALIDAD DE ISLA DE MAIPO</t>
  </si>
  <si>
    <t>CONSERVACION DE ACERAS CALLE MANUEL RODRIGUEZ, COMUNA DE TALAGANTE</t>
  </si>
  <si>
    <t>MUNICIPALIDAD DE TALAGANTE</t>
  </si>
  <si>
    <t>MEJORAMIENTO VEREDAS SECTOR SOL DE SEPTIEMBRE LAMPA</t>
  </si>
  <si>
    <t>Nuevo</t>
  </si>
  <si>
    <t>CONSTRUCCION CENTRO CULTURAL DE BUIN SEGUNDA ETAPA</t>
  </si>
  <si>
    <t>CONSTRUCCION CESFAM MALLOCO, COMUNA DE PENAFLOR</t>
  </si>
  <si>
    <t>MUNICIPALIDAD DE PEÑAFLOR</t>
  </si>
  <si>
    <t>MEJORAMIENTO ESPACIOS PUBLICOS 09 NODOS,COMUNA DE LA FLORIDA</t>
  </si>
  <si>
    <t>MEJORAMIENTO PARQUE COLON 2°ETAPA, COMUNA SAN BERNARDO</t>
  </si>
  <si>
    <t>MUNICIPALIDAD DE SAN BERNARDO</t>
  </si>
  <si>
    <t>REPOSICION Y CONSTRUCCION DE VEREDAS SECTOR 1, SAN MIGUEL</t>
  </si>
  <si>
    <t>MUNICIPALIDAD DE SAN MIGUEL</t>
  </si>
  <si>
    <t>MEJORAMIENTO PLAZA TOCORNAL DE TALAGANTE</t>
  </si>
  <si>
    <t>RESTAURACION CASA COLORADA 2DA ETAPA COMUNA DE SANTIAGO</t>
  </si>
  <si>
    <t>MUNICIPALIDAD DE SANTIAGO</t>
  </si>
  <si>
    <t>CAPACITACION EN EMPRENDIMIENTO INDÍGENA MAPUCHE, COMUNA EL BOSQUE</t>
  </si>
  <si>
    <t>CONSERVACION DE CALZADAS U.V. B2 Y B4, COMUNA DE LO BARNECHEA</t>
  </si>
  <si>
    <t>CONSERVACION VIAL AV. INM. CONCEPCIÓN, COMUNA DE COLINA</t>
  </si>
  <si>
    <t>REPOSICION ESPACIO PUBLICOS PLAZA HALLEY, MACUL</t>
  </si>
  <si>
    <t>SEREMI VIVIENDA REGION METROPOLITANA DE SANTIAGO</t>
  </si>
  <si>
    <t>REPOSICION BANDEJÓN AV. ALMTE. LATORRE, PLAZA RECREATIVA SAN RAMÓN</t>
  </si>
  <si>
    <t>MEJORAMIENTO PISTA ATLÉTICA ESTADIO LUCAS PACHECO. TALAGANTE.</t>
  </si>
  <si>
    <t>MEJORAMIENTO PLATABANDA AVENIDA LA BANDERA SAN RAMÓN</t>
  </si>
  <si>
    <t>MUNICIPALIDAD DE SAN RAMON</t>
  </si>
  <si>
    <t>CONSTRUCCION CUARTEL POLICIAL PDI, HUECHURABA</t>
  </si>
  <si>
    <t>POLICIA DE INVESTIGACIONES DE CHILE</t>
  </si>
  <si>
    <t>CONSTRUCCION PLAZA LIBERTAD COMUNA DE MELIPILLA</t>
  </si>
  <si>
    <t>MUNICIPALIDAD DE MELIPILLA</t>
  </si>
  <si>
    <t>MEJORAMIENTO COMPLEJO DEPORTIVO VILLA LO ARRIETA, PEÑALOLÉN</t>
  </si>
  <si>
    <t>MUNICIPALIDAD DE PEÑALOLEN</t>
  </si>
  <si>
    <t xml:space="preserve">CONSTRUCCION PARQUE MARATHON COMUNA DE MACUL </t>
  </si>
  <si>
    <t>MUNICIPALIDAD DE MACUL</t>
  </si>
  <si>
    <t>REPOSICION BIBLIOTECA 415 LA FAENA, COMUNA DE PEÑALOLEN</t>
  </si>
  <si>
    <t>CONSERVACION VEREDAS POBLACIÓN BUZETA U.V. N°10, COMUNA DE CERRILLOS</t>
  </si>
  <si>
    <t>MEJORAMIENTO ACERAS AV. ALCALDE LUIS ARAYA CERECEDA, PEÑAFLOR</t>
  </si>
  <si>
    <t>MEJORAMIENTO EJE MANUEL RODRIGUEZ - CORTES ISLA CENTRO.ISLA DE MAIPO</t>
  </si>
  <si>
    <t>MEJORAMIENTO EJE LO GUERRA, ISLA CENTRO, ISLA DE MAIPO</t>
  </si>
  <si>
    <t>MEJORAMIENTO DE PLAZAS DE CONCHALI, I ETAPA</t>
  </si>
  <si>
    <t>MUNICIPALIDAD DE CONCHALI</t>
  </si>
  <si>
    <t>CONSERVACION DE VEREDAS POBLACIÓN GERMAN RIESCO COMUNA SAN JOAQUIN</t>
  </si>
  <si>
    <t xml:space="preserve">CONSERVACION DE VEREDAS DE  CONCHALÍ, III ETAPA </t>
  </si>
  <si>
    <t>MEJORAMIENTO Y AMPLIACIÓN PARQUE METROPOLITANO CERRO CHENA, ETAPA 1</t>
  </si>
  <si>
    <t>MEJORAMIENTO BANDEJON SANTA ROSA CENTRO, LA PINTANA</t>
  </si>
  <si>
    <t>MUNICIPALIDAD DE LA PINTANA</t>
  </si>
  <si>
    <t>CONSERVACION ESCUELA SAN GABRIEL, comuna de SAN JOSÉ DE MAIPO</t>
  </si>
  <si>
    <t>CONSERVACION INFRAESTRUCTURA ESCUELA JULIETA BECERRA, SAN JOSÉ DE MAIPO</t>
  </si>
  <si>
    <t>CONSERVACION ESCUELA D139 ARAUCARIAS DE CHILE, CONCHALI</t>
  </si>
  <si>
    <t>CONSERVACION VEREDAS UNIDADES VECINALES 14 Y 25, COMUNA DE LA FLORIDA</t>
  </si>
  <si>
    <t>CONSERVACION VEREDAS POB J.E BELLO S Y J GOULART COMUNA SAN JOAQUIN</t>
  </si>
  <si>
    <t>CONSERVACION DE VEREDAS QUINTA NORMAL, ETAPA VI</t>
  </si>
  <si>
    <t>MUNICIPALIDAD DE QUINTA NORMAL</t>
  </si>
  <si>
    <t>CONSERVACION DE SEIS MULTICANCHAS, COMUNA DE RECOLETA</t>
  </si>
  <si>
    <t>REPOSICION CUARTEL DE BOMBEROS DE HUERTOS FAMILIARES, TIL TIL</t>
  </si>
  <si>
    <t>MUNICIPALIDAD DE TIL TIL</t>
  </si>
  <si>
    <t>CONSTRUCCION RED AGUA POTABLE CAMINO LOS PAJARITOS, PAINE</t>
  </si>
  <si>
    <t>MEJORAMIENTO DE ACERAS DE DISTINTAS CALLES DE PADRE HURTADO</t>
  </si>
  <si>
    <t>MUNICIPALIDAD DE PADRE HURTADO</t>
  </si>
  <si>
    <t>CONSERVACION DE VEREDAS UNIDAD VECINAL 1 PUDAHUEL</t>
  </si>
  <si>
    <t>MUNICIPALIDAD DE PUDAHUEL</t>
  </si>
  <si>
    <t>CONSERVACION DE VEREDAS UNIDAD VECINAL 2 PUDAHUEL</t>
  </si>
  <si>
    <t>REPOSICION ESCUELA REINO DE NORUEGA, QUINTA NORMAL</t>
  </si>
  <si>
    <t>CONSTRUCCION COMPLEJO DEPORTIVO, COMUNA DE LO BARNECHEA</t>
  </si>
  <si>
    <t>CONSTRUCCION ESPACIO MUJER, COMUNA DE CONCHALI</t>
  </si>
  <si>
    <t>CONSTRUCCION DE UNA RED DE PUNTOS LIMPIOS EN LA RM</t>
  </si>
  <si>
    <t>SEREMI DE MEDIO AMBIENTE REGION METROPOLITANA DE SANTIAGO</t>
  </si>
  <si>
    <t>REPOSICION CANCHA DE FÚTBOL Nº2 ESTADIO MUNICIPAL, SAN BERNARDO</t>
  </si>
  <si>
    <t>MEJORAMIENTO SERVICIO DE URGENCIA HOSPITAL SAN LUIS, COMUNA BUIN</t>
  </si>
  <si>
    <t>SERVICIO SALUD METROP. SUR</t>
  </si>
  <si>
    <t>CONSERVACION VEREDAS UNIDADES VECINALES 7 Y 10, COMUNA DE HUECHURABA</t>
  </si>
  <si>
    <t>MUNICIPALIDAD DE HUECHURABA</t>
  </si>
  <si>
    <t>CONSERVACION DE VEREDAS ETAPA III, COMUNA DE LA GRANJA</t>
  </si>
  <si>
    <t>MUNICIPALIDAD DE LA GRANJA</t>
  </si>
  <si>
    <t>CONSERVACION DE VEREDAS U.V. 3A, 3B, 16 Y 17, COMUNA DE LA CISTERNA</t>
  </si>
  <si>
    <t>AMPLIACION DE RECINTO DEPORTIVO LAS REJAS, COMUNA DE ESTACION CENTRAL</t>
  </si>
  <si>
    <t>CONSTRUCCION SISTEMA CAMARAS TELEVIGILANCIA QUINTA NORMAL</t>
  </si>
  <si>
    <t>REPOSICION CON RELOCALIZACIÓN CUARTEL 2° COMPAÑÍA DE BOMBEROS, SAN PEDRO</t>
  </si>
  <si>
    <t>MUNICIPALIDAD DE SAN PEDRO</t>
  </si>
  <si>
    <t>CONSTRUCCION RED AGUA POTABLE CAMINO LO INFANTE SAN BERNARDO</t>
  </si>
  <si>
    <t>REPOSICION ACERAS Y ESPACIO PUBLICO EJE SUR-PONIENTE AV. ARRIETA, PEÑALOLEN</t>
  </si>
  <si>
    <t>MEJORAMIENTO ACERAS PUEBLO HISTORICO DE MAIPO, COMUNA DE BUIN</t>
  </si>
  <si>
    <t>REPOSICION CON RELOCALIZACION BRIGADA DE INVESTIGACION CRIMINAL PDI, SAN RAMON</t>
  </si>
  <si>
    <t>REPOSICION CON RELOCALIZACIÓN CESFAM BAEZA GOÑI COMUNA DE SAN JOAQUIN</t>
  </si>
  <si>
    <t>CONSERVACION PLAZAS Y MIRADORES, CERROS DE RENCA</t>
  </si>
  <si>
    <t>MUNICIPALIDAD DE RENCA</t>
  </si>
  <si>
    <t>MEJORAMIENTO PLAZA PEDRO AGUIRRE CERDA UNIDAD VECINAL Nº10, COMUNA CERRILLOS</t>
  </si>
  <si>
    <t>CONSERVACION 22 MULTICANCHAS DIVERSOS SECTORES DE LA COMUNA DE MAIPÚ</t>
  </si>
  <si>
    <t>MUNICIPALIDAD DE MAIPU</t>
  </si>
  <si>
    <t>CONSTRUCCION DE ESPACIO PUBLICO CALLE 2 PONIENTE, U.V. 1, COMUNA MACUL</t>
  </si>
  <si>
    <t>CONSERVACION VEREDAS U. VECINAL Nº26 VILLA MEXICO, COMUNA DE CERRILLOS</t>
  </si>
  <si>
    <t>CONSERVACION DE CALZADA DE AVENIDA MACUL, COMUNA DE MACUL</t>
  </si>
  <si>
    <t>CONSERVACION DE VEREDAS UV 24, 25, 34, 35, 50 y 51 SAN BERNARDO</t>
  </si>
  <si>
    <t>MEJORAMIENTO VEREDAS Y AREAS VERDES BANDEJON CENTRAL AV. BERNARDO O`HIGGINS, COMUNA TALAGANTE</t>
  </si>
  <si>
    <t>REPOSICION DE LAS PLAZAS UV N°24-14 Y 7 COMUNA PAC</t>
  </si>
  <si>
    <t>MUNICIPALIDAD DE PEDRO A. CERDA</t>
  </si>
  <si>
    <t>CONSERVACION GIMNASIO MUNICIPAL DE LO ESPEJO, COMUNA DE LO ESPEJO</t>
  </si>
  <si>
    <t>MUNICIPALIDAD DE LO ESPEJO</t>
  </si>
  <si>
    <t>CONSERVACION VEREDAS SANTA ANITA Y JOSE MARÍA CARO ETAPA II COMUNA DE LO ESPEJO</t>
  </si>
  <si>
    <t>REPOSICION VEREDAS E INSTALACION DE ILUMINACION PEATONAL DIVERSOS SECTORES, LA PINTANA</t>
  </si>
  <si>
    <t>CONSTRUCCION V CESFAM COMUNA DE RENCA</t>
  </si>
  <si>
    <t>CONSERVACION VEREDAS SECTOR PLADECO N°4, COMUNA EL BOSQUE</t>
  </si>
  <si>
    <t>FORESTACION Y RECUPERACIÓN ARBOLADO URBANO, LA REINA</t>
  </si>
  <si>
    <t>MUNICIPALIDAD DE LA REINA</t>
  </si>
  <si>
    <t>CONSTRUCCION PLAZA CIVICA COMUNA P.A.C</t>
  </si>
  <si>
    <t>CONSERVACION CESFAM Rosita Renard Comuna de Ñuñoa</t>
  </si>
  <si>
    <t>MUNICIPALIDAD DE ÑUÑOA</t>
  </si>
  <si>
    <t>CONSERVACION VEREDAS UV 10, 13,14, 14B,33,34 Y 39, RENCA</t>
  </si>
  <si>
    <t>CONSERVACION TEATRO MUNICIPAL COMUNA DE MAIPU</t>
  </si>
  <si>
    <t>MEJORAMIENTO VÍAS LOCALES CONJUNTO HABITACIONAL AIRES DEL MAIPO, ISLA DE MAIPO</t>
  </si>
  <si>
    <t>CONTROL PREVENCIÓN Y REUBICACIÓN DE CANINOS CALLEJEROS EN LA RMS</t>
  </si>
  <si>
    <t>MEJORAMIENTO CALLE CANCHA DE CARRERAS, COMUNA DE ALHUE</t>
  </si>
  <si>
    <t>MUNICIPALIDAD DE ALHUE</t>
  </si>
  <si>
    <t>MEJORAMIENTO PAVIMENTACIÓN CALLE MANUEL RODRIGUEZ, COMUNA DE TIL TIL</t>
  </si>
  <si>
    <t>CONSERVACION VEREDAS BARRIOS BLANQUEADO Y LAUTARO COMUNA DE LO PRADO</t>
  </si>
  <si>
    <t>MUNICIPALIDAD DE LO PRADO</t>
  </si>
  <si>
    <t>CONSERVACION PROYECTO DE CONSERVACIÓN DE VEREDAS, U. V. 19,20 Y 23,COMUNA LA FLORIDA</t>
  </si>
  <si>
    <t>CONSTRUCCION CICLOVÍA CAMINO EL TORO, RUTA G-760, COMUNA DE CURACAVÍ</t>
  </si>
  <si>
    <t>MUNICIPALIDAD DE CURACAVI</t>
  </si>
  <si>
    <t>CONSTRUCCION CICLOVÍA SANTA INÉS, RUTA G-200, COMUNA DE CURACAVÍ</t>
  </si>
  <si>
    <t>CONSTRUCCION CICLOVÍA RUTA LA CHIMBA, COMUNAS RENCA, INDEPENDENCIA Y RECOLETA</t>
  </si>
  <si>
    <t>REPOSICION ESTADIO MUNICIPAL DE SAN PEDRO</t>
  </si>
  <si>
    <t>MEJORAMIENTO PLAZAS COMUNALES PARA LA INCLUSIÓN - LA REINA</t>
  </si>
  <si>
    <t>CONSERVACION DE VEREDAS AGRUPACIÓN VECINAL 9, U. VECINAL 6 Y 7, COMUNA DE SANTIAGO</t>
  </si>
  <si>
    <t>REPOSICION CESFAM PABLO DE ROKHA, LA PINTANA</t>
  </si>
  <si>
    <t>CONSERVACION PUENTE LOS CARROS, COMUNA DE SANTIAGO</t>
  </si>
  <si>
    <t>CONSERVACION VEREDAS CERRO NAVIA ETAPA 2</t>
  </si>
  <si>
    <t>MEJORAMIENTO ESTADIO MUNICIPAL ROBERTO BRAVO SANTIBAÑEZ, MELIPILLA</t>
  </si>
  <si>
    <t>CONSERVACION CALZADAS AGRUPACIÓN VECINAL N°9, COMUNA DE SANTIAGO</t>
  </si>
  <si>
    <t>MEJORAMIENTO Y AMPLIACIÓN SISTEMA ALUMBRADO PUBLICO DE ESTACIÓN CENTRAL</t>
  </si>
  <si>
    <t>CONSERVACION VIAL DE LA ZONA 5, SECTOR SUR PONIENTE DE LA COMUNA DE SAN BERNARDO</t>
  </si>
  <si>
    <t>REPOSICION DE CUARTEL DE BOMBEROS CON RELOCALIZACION DE LA 1ª CIA DE MELIPILLA</t>
  </si>
  <si>
    <t>CONSERVACION VEREDAS POBLACION JARDIN LO PRADO</t>
  </si>
  <si>
    <t>CONSERVACION DE MULTICANCHAS EN COMUNA DE LO BARNECHEA</t>
  </si>
  <si>
    <t>CONSERVACION DE VEREDAS POBLACIONES SANTA OLGA Y CLARA ESTRELLA COMUNA DE LO ESPEJO</t>
  </si>
  <si>
    <t>CONSTRUCCION POLIDEPORTIVO, COMUNA DE LA PINTANA</t>
  </si>
  <si>
    <t>REPOSICION DE PAVIMENTOS CALLE COLON NORTE, SAN BERNARDO</t>
  </si>
  <si>
    <t>REPOSICION PLAZA EL PINAR, BARRIO EL PINAR, COMUNA DE SAN JOAQUIN</t>
  </si>
  <si>
    <t>CONSERVACION DE VEREDAS DE CONCHALÍ, ETAPA IV</t>
  </si>
  <si>
    <t>REPOSICION CON RELOCALIZACION DEL CONSULTORIO OSSANDON COMUNA DE LA REINA</t>
  </si>
  <si>
    <t>CONSERVACION EDIFICIO GOBIERNO REGIONAL REGION METROPOLITANA</t>
  </si>
  <si>
    <t>CONSERVACION PISCINA TEMPERADA LICEO NÂ°1 JAVIERA CARRERA, COMUNA DE SANTIAGO</t>
  </si>
  <si>
    <t>CONSERVACION LICEO MIGUEL LUIS AMUNATEGUI, COMUNA DE SANTIAGO</t>
  </si>
  <si>
    <t>MEJORAMIENTO SISTEMA DE SEÑALETICA VIAL Y PEATONAL , COMUNA DE LO ESPEJO</t>
  </si>
  <si>
    <t>CONSERVACION LICEO EL BOLLENAR COMUNA DE MELIPILLA</t>
  </si>
  <si>
    <t>CONSERVACION ESCUELA ESPECIAL ANNE SULLIVAN, COMUNA DE EL BOSQUE</t>
  </si>
  <si>
    <t>CONSERVACION ESCUELA GRAL. BERNARDO O’HIGGINS COMUNA DE MAIPU</t>
  </si>
  <si>
    <t>CONSERVACION ESCUELA SAN JUAN, COMUNA DE PIRQUE</t>
  </si>
  <si>
    <t>CONSERVACION ESCUELA TERRITORIO ANTARTICO DE SAN MIGUEL</t>
  </si>
  <si>
    <t>CONSERVACION ESCUELA SANTA FE DE SAN MIGUEL</t>
  </si>
  <si>
    <t>CONSERVACION INFRAESTRUCTURA ESCUELA BÁSICA ESPAÑA., SAN BERNARDO</t>
  </si>
  <si>
    <t>CONSERVACION INFRAESTRUCTURA EDUCACIONAL LICEO TECNICO PROFESIONAL, COMUNA BUIN</t>
  </si>
  <si>
    <t>CONSERVACION INFRAESTRUCTURA ESCUELA GENERAL RENE SCHNEIDER CHEREAU, SAN BERNARDO</t>
  </si>
  <si>
    <t>CONSERVACION LICEO REPÚBLICA DE ITALIA. COMUNA DE ISLA DE MAIPO</t>
  </si>
  <si>
    <t>CONSERVACION DEL LICEO ANDRES BELLO , COMUNA DE LA FLORIDA</t>
  </si>
  <si>
    <t>CONSERVACION ESCUELA BASICA PLATON, QUINTA NORMAL</t>
  </si>
  <si>
    <t>CONSERVACION DE INFRAESTRUCTURA ESCUELA VALLE DE PUANGUE,CURACAVI</t>
  </si>
  <si>
    <t>CONSERVACION ESCUELA MANUEL RODRIGUEZ. COMUNA DE TALAGANTE.</t>
  </si>
  <si>
    <t>CONSTRUCCION NUEVA RED DE ALCANTARILLADO Y PTAS PARA POLPAICO, TIL TIL</t>
  </si>
  <si>
    <t>AMPLIACION RED DE ALCANTARILLADO Y CONSTRUCCIÓN NUEVA PTAS PARA RUNGUE, TIL TIL</t>
  </si>
  <si>
    <t>CONSTRUCCION RED DE ALCANTARILLADO Y PTAS PARA HUERTOS FAMILIARES Y SANTA MATILDE, TIL TIL</t>
  </si>
  <si>
    <t>CONSTRUCCION RED DE ALCANTARILLADO Y PTAS PARA MONTENEGRO, TIL TIL</t>
  </si>
  <si>
    <t>CONSTRUCCION FERIA MUNICIPAL DE PRODUCTORES LOCALES, COMUNA DE PIRQUE</t>
  </si>
  <si>
    <t>CONSERVACION ESCUELA LA ESPERANZA, COMUNA DE PADRE HURTADO</t>
  </si>
  <si>
    <t>CONSERVACION CUBIERTAS INTERNADO NACIONAL BARROS ARANA, COMUNA DE SANTIAGO</t>
  </si>
  <si>
    <t>CONSERVACION VEREDAS DIVERSOS SECTORES ETAPA III, COMUNA DE INDEPENDENCIA</t>
  </si>
  <si>
    <t>MUNICIPALIDAD DE INDEPENDENCIA</t>
  </si>
  <si>
    <t>CONSERVACION VEREDAS VILLA EL DIAMANTE, COMUNA DE BUIN</t>
  </si>
  <si>
    <t>REPOSICION ACERAS ETAPA VI COMUNA DE SAN JOAQUIN</t>
  </si>
  <si>
    <t>CONSERVACION PAVIMENTO DE CALZADAS AV. QUILIN, COMUNA MACUL</t>
  </si>
  <si>
    <t>NORMALIZACION CANCHA SANTA LUISA, COMUNA DE MARIA PINTO</t>
  </si>
  <si>
    <t>MUNICIPALIDAD DE MARIA PINTO</t>
  </si>
  <si>
    <t>MEJORAMIENTO BARRIO COMERCIAL PATRONATO, ETAPA I COMUNA DE RECOLETA</t>
  </si>
  <si>
    <t>CONSERVACION DE 02 CANCHAS DE FÚTBOL Y 03 CANCHAS DE FUTBOLITO, COMUNA DE ESTACIÓN CENTRAL</t>
  </si>
  <si>
    <t>CONSERVACION ESCUELA LOS COPIHUES, FUNDACION COANIL, REGION METROPOLITANA</t>
  </si>
  <si>
    <t>AMPLIACION SISTEMA DE ALUMBRADO PÚBLICO PEATONAL DE DIVERSAS VÍAS, COMUNA DE LA FLORIDA</t>
  </si>
  <si>
    <t>CONSTRUCCION PLANTA TRATAMIENTO AGUAS SERVIDAS Y RED DE ALCANTARILLADO EL HUINGÁN, COMUNA DE PIRQUE</t>
  </si>
  <si>
    <t>CONSERVACION CALZADA AV. VICUÑA MACKENNA ENTRE P.CORREA Y CANAL CASTILLO. COMUNA DE PEÑAFLOR</t>
  </si>
  <si>
    <t>REPOSICION E INSTALACIÓN DE LUMINARIAS PÚBLICAS. COMUNA DE TALAGANTE.</t>
  </si>
  <si>
    <t>MEJORAMIENTO SEÑALETICA Y DEMARCACION DE SEGURIDAD VIAL Y PEATONAL, COMUNA DE SAN JOAQUIN</t>
  </si>
  <si>
    <t>AMPLIACION SISTEMA DE ALUMBRADO PÚBLICO, COMUNA EL MONTE</t>
  </si>
  <si>
    <t>MUNICIPALIDAD DE EL MONTE</t>
  </si>
  <si>
    <t>CONSERVACION DE VEREDAS EN LAS U.V 1-B, 2-B, 3-B, 5-B,10-B, 11-B, COMUNA EL BOSQUE</t>
  </si>
  <si>
    <t>CONSERVACION DE CALLE LOS PRADOS.COMUNA DE PADRE HURTADO</t>
  </si>
  <si>
    <t>MEJORAMIENTO DE VEREDAS Y ESPACIO PUBLICO CRUCE CHOROMBO ALTO, COMUNA DE MARIA PINTO</t>
  </si>
  <si>
    <t>MEJORAMIENTO DE VEREDAS Y ESPACIO PUBLICO CRUCE EL REDIL, COMUNA DE MARIA PINTO</t>
  </si>
  <si>
    <t>CONSERVACION DE ACERAS PEATONALES DIVERSAS UNIDADES VECINALES, LA CISTERNA</t>
  </si>
  <si>
    <t>CONSERVACION CALZADAS AGRUPACIÓN VECINAL N°2, COMUNA DE SANTIAGO</t>
  </si>
  <si>
    <t>CONSERVACION VEREDAS AV9 UV0, UV2, UV4 Y AV10 UV14, COMUNA DE SANTIAGO</t>
  </si>
  <si>
    <t>CONSTRUCCION PARQUE COMUNAL PAINE</t>
  </si>
  <si>
    <t>REPOSICION E INSTALACIÓN DE LUMINARIAS PUBLICAS. COMUNA DE ISLA DE MAIPO</t>
  </si>
  <si>
    <t>CONSTRUCCION CESFAM COMUNA DE INDEPENDENCIA</t>
  </si>
  <si>
    <t>CONSERVACION PAVIMENTOS PASAJES Y CALZADAS EN DIVERSOS SECTORES. COMUNA DE PUENTE ALTO.</t>
  </si>
  <si>
    <t>MUNICIPALIDAD DE PUENTE ALTO</t>
  </si>
  <si>
    <t>MEJORAMIENTO SISTEMA LUMINARIAS PÚBLICAS COMUNA DE PEDRO AGUIRRE CERDA</t>
  </si>
  <si>
    <t>MEJORAMIENTO SISTEMA DE LUMINARIAS PUBLICAS COMUNA DE PADRE HURTADO</t>
  </si>
  <si>
    <t>REPOSICION Y RELOCALIZACIÓN CESFAM ISLA DE MAIPO</t>
  </si>
  <si>
    <t>MEJORAMIENTO CANCHAS DE FUTBOL LIGA DEPORTIVA LIDEINSENOBA, COMUNA DE CERRO NAVIA</t>
  </si>
  <si>
    <t>CONSERVACION DE VEREDAS DE LA COMUNA DE CONCHALI, V ETAPA</t>
  </si>
  <si>
    <t>CONSERVACION DE VEREDAS EN DIVERSOS TRAMOS DE LA COMUNA DE SAN RAMON</t>
  </si>
  <si>
    <t>CONSERVACION DE MULTICANCHAS DIVERSOS SECTORES DE LA COMUNA DE SAN RAMÓN</t>
  </si>
  <si>
    <t>CONSERVACION DE VEREDAS QUINTA NORMAL, ETAPA VII</t>
  </si>
  <si>
    <t>CONSERVACION RECINTOS DEPORTIVOS DE LA REGIÓN METROPOLITANA DE SANTIAGO, ETAPA3</t>
  </si>
  <si>
    <t>CONSERVACION DE EMERGENCIA DE ASFALTO EN CASCO HISTÒRICO, HUECHURABA</t>
  </si>
  <si>
    <t>CONSERVACION INFRAESTRUCTURA DIVERSOS SEMAFOROS, LA CISTERNA</t>
  </si>
  <si>
    <t>CONSERVACION DE REFUGIOS PEATONALES, COMUNA DE ÑUÑOA</t>
  </si>
  <si>
    <t>CONSERVACION DEL SISTEMA DE CALEFACCION CAMARINES ESTADIO DAVILA COMUNA PEDRO AGUIRRE CERDA</t>
  </si>
  <si>
    <t>CONSERVACION PINTURA EDIFICIO CONSISTORIAL Y PERÍMETRO CASA DE LA CULTURA, COMUNA DE ÑUÑOA</t>
  </si>
  <si>
    <t>CONSERVACION CANCHA FUTBOL CLUB DEPORTIVO LOS PERALES, COMUNA DE ALHUÉ</t>
  </si>
  <si>
    <t>CONSERVACION SEDE DEPORTIVA SAN ALFONSO, COMUNA DE ALHUÉ</t>
  </si>
  <si>
    <t>CONSERVACION ESCUELA RURAL G-122 BARRANCAS DE PICHI COMUNA DE ALHUE</t>
  </si>
  <si>
    <t>CONSERVACION ESCUELA G-497 HACIENDA ALHUÉ, COMUNA DE ALHUÉ.</t>
  </si>
  <si>
    <t>CONSERVACION ESCUELA RURAL G-123 SAN ALFONSO COMUNA DE ALHUE</t>
  </si>
  <si>
    <t>MEJORAMIENTO CUARTEL DE BOMBEROS. 21° COMPAÑIA, BOMBEROS RENCA</t>
  </si>
  <si>
    <t>CONSERVACION VEREDAS SECTOR NORTE, COMUNA CURACAVÍ</t>
  </si>
  <si>
    <t>CONSERVACION SEDE DEPORTIVA EL RESTO, COMUNA DE ALHUÉ</t>
  </si>
  <si>
    <t>ESTE INFORME DEBE CONTENER INFORMACIÓN DE LAS RESLUCIONES TOMADAS RAZÓN AL 31/03/2021</t>
  </si>
  <si>
    <t>09</t>
  </si>
  <si>
    <t>Monto Modificado 2022</t>
  </si>
  <si>
    <t>Monto Modificado 2023</t>
  </si>
  <si>
    <t>Monto Modificado 2024</t>
  </si>
  <si>
    <t>CONSTRUCCION SISTEMA AGUA POTABLE RURAL LLAGUEY QUIFO, SAAVEDRA</t>
  </si>
  <si>
    <t>La Araucanía</t>
  </si>
  <si>
    <t>Saavedra</t>
  </si>
  <si>
    <t>REPOSICION EDIFICIO CONSISTORIAL, CUNCO</t>
  </si>
  <si>
    <t>CUNCO</t>
  </si>
  <si>
    <t>REPOSICION EDIFICIIO CONSISTORIAL COMUNA DE TOLTEN</t>
  </si>
  <si>
    <t>TOLTEN</t>
  </si>
  <si>
    <t>INSTALACION SISTEMA AGUA POTABLE RURAL QUINTRILPE, VILCUN</t>
  </si>
  <si>
    <t>Vilcún</t>
  </si>
  <si>
    <t>INSTALACION SISTEMA AGUA POTABLE RURAL STA CELIA, CAMARONES Y EL MANZANO, CARAHUE</t>
  </si>
  <si>
    <t>Carahue</t>
  </si>
  <si>
    <t>REPOSICION BIBLIOTECA MUNICIPAL TEODORO SCHMIDT</t>
  </si>
  <si>
    <t>T. SCHMIDT</t>
  </si>
  <si>
    <t>03</t>
  </si>
  <si>
    <t>INSTALACION SERVICIO AGUA POTABLE CATRIRREHUE, SAAVEDRA</t>
  </si>
  <si>
    <t>INSTALACION SISTEMA AGUA POTABLE RURAL CHIVILCOYAN, IMPERIAL</t>
  </si>
  <si>
    <t>Imperial</t>
  </si>
  <si>
    <t>INSTALACION SISTEMA AGUA POTABLE DALCAHUE, CUNCO</t>
  </si>
  <si>
    <t>Cunco</t>
  </si>
  <si>
    <t>REPOSICION PLAZA ARTURO PRAT de PUERTO SAAVEDRA, COMUNA DE SAAVEDRA</t>
  </si>
  <si>
    <t>SAAVEDRA</t>
  </si>
  <si>
    <t>INSTALACION SISTEMA AGUA POTABLE RURAL LEFUN, VILLARRICA</t>
  </si>
  <si>
    <t>Villarrica</t>
  </si>
  <si>
    <t>REPOSICION CONSULTORIO GENERAL URBANO VILLARRICA Y ADECUACIÓN CESFAM</t>
  </si>
  <si>
    <t>VILLARRICA</t>
  </si>
  <si>
    <t>MEJORAMIENTO CAMINO CUDICO-PINO HUACHO, VILLARRICA</t>
  </si>
  <si>
    <t>REPOSICION EDIFICIO CONSISTORIAL DE LONQUIMAY</t>
  </si>
  <si>
    <t>LONQUIMAY</t>
  </si>
  <si>
    <t>INSTALACION SISTEMA AGUA POTABLE MITRAUQUEN (ALTA Y BAJO), LONQUIMAY</t>
  </si>
  <si>
    <t>Lonquimay</t>
  </si>
  <si>
    <t>INSTALACION SISTEMA DE APR DE PAILACOYAN, RUCATARO Y COYANCO, CARAHUE</t>
  </si>
  <si>
    <t>INSTALACION A.P.R.CHAPO,ROBLE RICON,CHACAY(BAJO Y ALTO), CARAHUE</t>
  </si>
  <si>
    <t>INSTALACION SISTEMA AGUA POTABLE PAILLAO MAPU TROMEMALLIN, TEMUCO</t>
  </si>
  <si>
    <t>Temuco</t>
  </si>
  <si>
    <t>INSTALACION A.P.R. QUILLEM BAJO, ALTO Y QUEBRADA MOLINO, CARAHUE</t>
  </si>
  <si>
    <t>CONSTRUCCION CENTRO DE SALUD RURAL PUERTO DOMINGUEZ - SAAVEDRA</t>
  </si>
  <si>
    <t>11</t>
  </si>
  <si>
    <t>MEJORAMIENTO AV. PINTO ENTRE C. TUCAPEL Y AV. CAUPOLICAN, TEMUCO</t>
  </si>
  <si>
    <t>TEMUCO</t>
  </si>
  <si>
    <t>MEJORAMIENTO AV BALMACEDA ENTRE PEDRO DE VALDIVIA/BULNES-LONCOCHE</t>
  </si>
  <si>
    <t>LONCOCHE</t>
  </si>
  <si>
    <t>INSTALACION SISTEMA AGUA POTABLE RURAL DEHUEPILLE, PADRE LAS CASAS</t>
  </si>
  <si>
    <t>P. Las Casas</t>
  </si>
  <si>
    <t>INSTALACION SISTEMA AGUA POTABLE RURAL CENTRAL ALHUECO, LAUTARO</t>
  </si>
  <si>
    <t>Lautaro</t>
  </si>
  <si>
    <t>REPOSICION BIBLIOTECA PUBLICA, CURARREHUE</t>
  </si>
  <si>
    <t>CURARREHUE</t>
  </si>
  <si>
    <t>REPOSICION PARCIAL EDIFICIO CONSISTORIAL, ANGOL</t>
  </si>
  <si>
    <t>ANGOL</t>
  </si>
  <si>
    <t>REPOSICION POSTA SALUD RURAL PICHIPELLAHUEN - LUMACO</t>
  </si>
  <si>
    <t>LUMACO</t>
  </si>
  <si>
    <t>REPOSICION PARCIAL LICEO DOMINGO SANTA MARIA, RENAICO</t>
  </si>
  <si>
    <t>RENAICO</t>
  </si>
  <si>
    <t>REPOSICION CUARTEL PRIMERA COMPAÑÍA DE BOMBEROS, MELIPEUCO</t>
  </si>
  <si>
    <t>MELIPEUCO</t>
  </si>
  <si>
    <t>INSTALACION SISTEMA AGUA POTABLE QUEUPUE, COIHUE Y LLANCAN, T. SCHMIDT</t>
  </si>
  <si>
    <t>T.Schmidt</t>
  </si>
  <si>
    <t>NORMALIZACION HOSPITAL COMUNITARIO Y FAM DR. EDUARDO GONZALEZ G. CUNCO</t>
  </si>
  <si>
    <t>NORMALIZACION HOSPITAL COMUNITARIO Y FAMILIAR VILCUN</t>
  </si>
  <si>
    <t>VILCUN</t>
  </si>
  <si>
    <t>15</t>
  </si>
  <si>
    <t>CONSTRUCCION HOGAR DE ANCIANOS, VICTORIA</t>
  </si>
  <si>
    <t>VICTORIA</t>
  </si>
  <si>
    <t>INSTALACION SISTEMA AGUA POTABLE RURAL LLIU LLIU 7MA. FAJA, LONCOCHE</t>
  </si>
  <si>
    <t>Loncoche</t>
  </si>
  <si>
    <t>INSTALACION SISTEMA AGUA POTABLE RURAL EL ESCORIAL, MELIPEUCO</t>
  </si>
  <si>
    <t>Melipeuco</t>
  </si>
  <si>
    <t>INSTALACION SISTEMA AGUA POTABLE JOSE MIGUEL CARRERA, COLLIPULLI</t>
  </si>
  <si>
    <t>Collipulli</t>
  </si>
  <si>
    <t>MEJORAMIENTO AVENIDA BERNARDO O" HIGGINS CIUDAD DE LAUTARO</t>
  </si>
  <si>
    <t>LAUTARO</t>
  </si>
  <si>
    <t>INSTALACION SISTEMA AGUA POTABLE DOLLINCO ALHUECO, LAUTARO</t>
  </si>
  <si>
    <t>CONSTRUCCION ESCUELA ESPECIAL TULIO MORA - PUREN</t>
  </si>
  <si>
    <t>PUREN</t>
  </si>
  <si>
    <t>REPOSICION LICEO CIENCIAS Y HUMANIDADES PITRUFQUEN</t>
  </si>
  <si>
    <t>PITRUFQUEN</t>
  </si>
  <si>
    <t>MEJORAMIENTO RUTAS S-464 Y S-488; ALMAGRO - BARROS ARANA</t>
  </si>
  <si>
    <t>CAUTIN</t>
  </si>
  <si>
    <t>INSTALACION SISTEMA AGUA POTABLE DOLLINCO LLARQUENCO, SAAVEDRA</t>
  </si>
  <si>
    <t>INSTALACION SISTEMA AGUA POTABLE RURAL ALMA CUDILEUFU, SAAVEDRA</t>
  </si>
  <si>
    <t>INSTALACION SISTEMA AGUA POTABLE MILLAHUECO ROLONCHE, SAAVEDRA</t>
  </si>
  <si>
    <t>NORMALIZACION CESFAM CONSULTORIO GENERAL DE TROVOLHUE</t>
  </si>
  <si>
    <t>CARAHUE</t>
  </si>
  <si>
    <t>RESTAURACION TEATRO MUNICIPAL DE COLLIPULLI</t>
  </si>
  <si>
    <t>COLLIPULLI</t>
  </si>
  <si>
    <t>INSTALACION SISTEMA AGUA POTABLE RURAL, SECTOR ALTO Y BAJO LONCOYAMO, CARAHUE</t>
  </si>
  <si>
    <t>MEJORAMIENTO BIBLIOTECA PUBLICA MUNICIPAL LAUTARO</t>
  </si>
  <si>
    <t>INSTALACION AGUA POTABLE CINCO LAURELES, TROMEN BAJO Y ALTO, TEMUCO</t>
  </si>
  <si>
    <t>CONSTRUCCION CENTRO DE SALUD FAMILIAR - PUCON</t>
  </si>
  <si>
    <t>PUCON</t>
  </si>
  <si>
    <t>REPOSICION CALLE TACNA ENTRE LATORRE Y SGTO. ALDEA - VICTORIA</t>
  </si>
  <si>
    <t>CONSTRUCCION SISTEMA DE AGUA POTABLE RURAL PEHUENCO, VICTORIA</t>
  </si>
  <si>
    <t>Victoria</t>
  </si>
  <si>
    <t>MEJORAMIENTO AV. P. DE VALDIVIA ENTRE AV. EL ORBITAL Y PRIETO NORTE</t>
  </si>
  <si>
    <t>CONSTRUCCION SISTEMA AGUA POTABLE LLIULLIUCURA, LAUTARO</t>
  </si>
  <si>
    <t>RESTAURACION TEATRO MUNICIPAL DE RENAICO</t>
  </si>
  <si>
    <t xml:space="preserve">REPOSICION POSTA SALUD RURAL DEL SECTOR DE RULO, NUEVA IMPERIAL </t>
  </si>
  <si>
    <t>NUEVA IMPERIAL</t>
  </si>
  <si>
    <t>CONSTRUCCION SISTEMA AGUA POTABLE RURAL EL SOL Y GUACOLDA, PERQUENCO</t>
  </si>
  <si>
    <t>Perquenco</t>
  </si>
  <si>
    <t>CONSTRUCCION SISTEMA AGUA POTABLE RURAL PIEDRA ALTA, SAAVEDRA</t>
  </si>
  <si>
    <t>CONSTRUCCION SISTEMA AGUA POTABLE RURAL PUAUCHO, SAVEDRA</t>
  </si>
  <si>
    <t>CONSTRUCCION SISTEMA AGUA POTABLE CUNCO CHICO, PADRE LAS CASAS</t>
  </si>
  <si>
    <t>HABILITACION ESTADIO MUNICIPAL DE PUREN</t>
  </si>
  <si>
    <t>CONSTRUCCION SISTEMA AGUA POTABLE MONOPAINE CHAPOD, PADRE LAS CASAS</t>
  </si>
  <si>
    <t>TRANSFERENCIA PRODUCCION OVINA PARA 120 AGRICULTORES, P. LAS CASAS</t>
  </si>
  <si>
    <t>CONSTRUCCION SISTEMA AGUA POTABLE MOLONHUE ALTO Y BAJO, T. SCHMIDT</t>
  </si>
  <si>
    <t>NORMALIZACION POSTA SALUD RURAL COYANCAHUIN - PUREN</t>
  </si>
  <si>
    <t>REPOSICION ESTADIO DE TROVOLHUE, CARAHUE</t>
  </si>
  <si>
    <t>REPOSICION POSTA SALUD RURAL TEMULEMU - TRAIGUEN</t>
  </si>
  <si>
    <t>TRAIGUEN</t>
  </si>
  <si>
    <t>NORMALIZACION POSTA SALUD RURAL LA HERRADURA - LUMACO</t>
  </si>
  <si>
    <t>AMPLIACION RED AGUAS SERVIDAS LABRANZA CENTRO, TEMUCO</t>
  </si>
  <si>
    <t>CONSTRUCCION MERCADO INTERCULTURAL WE MONGEN NUEVA IMPERIAL</t>
  </si>
  <si>
    <t>IMPERIAL</t>
  </si>
  <si>
    <t>REPOSICION LICEO ATENEA, CUNCO</t>
  </si>
  <si>
    <t>CONSERVACION INFRAESTRUCTURA HOSPITAL PUREN</t>
  </si>
  <si>
    <t>MEJORAMIENTO AV. LUIS DURAND ENTRE AV. ANDES - EL CARMEN, TEMUCO</t>
  </si>
  <si>
    <t>REPOSICION ESCUELA ESPECIAL ÑIELOL DE TEMUCO</t>
  </si>
  <si>
    <t>AMPLIACION SISTEMA APR HUALLEPENCO A QUINTRILEO Y OTROS, PERQUENCO</t>
  </si>
  <si>
    <t>CONSTRUCCION POSTA SALUD RURAL HUALLEN MAPU, LONQUIMAY</t>
  </si>
  <si>
    <t>REPOSICION CENTRO SALUD FAMILIAR, VICTORIA</t>
  </si>
  <si>
    <t>REPOSICION POSTA SALUD RURAL QUECHEREGUAS, TRAIGUEN</t>
  </si>
  <si>
    <t>CONSTRUCCION SIS. AGUA POTABLE HUINCACARA SUR VOIPIR SECO, VILLARRICA</t>
  </si>
  <si>
    <t>MEJORAMIENTO INTEGRAL ZONA DE USO PUBLICO PARQUE NAC. VILLARRICA</t>
  </si>
  <si>
    <t>CONSERVACION CAMINO HUAMAQUI LOS CHILCOS, KM 0,0 AL 15,5; CHOL CHOL</t>
  </si>
  <si>
    <t>CHOL CHOL</t>
  </si>
  <si>
    <t>CONSTRUCCION SISTEMA AGUA POTABLE RURAL PICHIQUEPE, PADRE LAS CASAS</t>
  </si>
  <si>
    <t>CONSTRUCCION RED DE COLECTORES DE AGUAS LLUVIA DE FREIRE</t>
  </si>
  <si>
    <t>Freire</t>
  </si>
  <si>
    <t>MEJORAMIENTO BORDE COSTERO, QUEULE, TOLTEN</t>
  </si>
  <si>
    <t>Prefact.</t>
  </si>
  <si>
    <t>MEJORAMIENTO CALLE MOLLULCO, ENTRE CALLE EL BOSQUE Y COMPLEJO DEPORTIVO LABRANZA, TEMUCO.</t>
  </si>
  <si>
    <t>DIAGNOSTICO PMDT MALLECO NORTE</t>
  </si>
  <si>
    <t>MALLECO</t>
  </si>
  <si>
    <t>REPOSICION FERIA ABASTO MUNICIPAL, CURACAUTIN</t>
  </si>
  <si>
    <t>CURACAUTIN</t>
  </si>
  <si>
    <t>REPOSICION IGLESIA SAN JUAN EVANGELISTA, PITRUFQUEN</t>
  </si>
  <si>
    <t>CONSTRUCCION SISTEMA AGUA POTABLE RURAL, ÑANCUL NORTE, VILLARRICA</t>
  </si>
  <si>
    <t>CONSTRUCCION SISTEMA AGUA POTABLE VOIPIR, RAYENCO CALFUTUE, VILLARRICA</t>
  </si>
  <si>
    <t>MEJORAMIENTO CAMINO BASICO INTERMEDIO CAMINO ANTIGUO TRAIGUEN</t>
  </si>
  <si>
    <t>REPOSICION EDIFICIO CONSISTORIAL, COMUNA DE GORBEA</t>
  </si>
  <si>
    <t>GORBEA</t>
  </si>
  <si>
    <t>CONSTRUCCION CUARTEL DE BOMBEROS BRIGADA DE METRENCO, PLC</t>
  </si>
  <si>
    <t>P. LAS CASAS</t>
  </si>
  <si>
    <t>REPOSICION INTEGRAL ESTADIO MUNICIPAL, COMUNA DE COLLIPULLI</t>
  </si>
  <si>
    <t>REPOSICION POSTA DE SALUD RURAL AÑILCO, VILLARRICA</t>
  </si>
  <si>
    <t>CONSTRUCCION CUARTEL BRIGADA FUNDO EL CARMEN, TEMUCO.</t>
  </si>
  <si>
    <t>REPOSICION CANCHA DE FUTBOL LICEO PABLO NERUDA, TEMUCO</t>
  </si>
  <si>
    <t>REPOSICION ESCUELA COLLIN ALTO, VILCUN</t>
  </si>
  <si>
    <t>CONSTRUCCION APR FOLILCO, QUETROCO, RUCAHUE, RUCATRARO, HUENTE, FREIRE</t>
  </si>
  <si>
    <t>CONSTRUCCION SISTEMA AGUA POTABLE RURAL ARAUCO, CHUMPULLI, GUIÑIMO, FREIRE</t>
  </si>
  <si>
    <t>REPOSICION CUARTEL DE BOMBEROS QUINTA COMPAÑÍA DE NEHUENTUE</t>
  </si>
  <si>
    <t>REPOSICION GIMNASIO MUNICIPAL, PUCON</t>
  </si>
  <si>
    <t>REPOSICION CESFAM HUEQUEN, ANGOL</t>
  </si>
  <si>
    <t>CONSTRUCCION CUARTEL DE BOMBEROS PRIMERA COMPAÑÍA CARAHUE</t>
  </si>
  <si>
    <t>REPOSICION CECOSF EL RETIRO, ANGOL</t>
  </si>
  <si>
    <t>REPOSICION BALSA NEHUENTUE, RIO IMPERIAL</t>
  </si>
  <si>
    <t>REPOSICION CENTRO SALUD FAMILIAR METODISTA (MILLARAY), TEMUCO</t>
  </si>
  <si>
    <t>INSTALACION SISTEMA APR, LAFKENCHE HUEÑALIHUEN</t>
  </si>
  <si>
    <t>CONSTRUCCION POSTA DE SALUD RURAL GUINDO CHICO, LOS SAUCES</t>
  </si>
  <si>
    <t>LOS SAUCES</t>
  </si>
  <si>
    <t>REPOSICION POSTA DE SALUD RURAL TRINTRE, LOS SAUCES</t>
  </si>
  <si>
    <t>NORMALIZACION URGENCIA HOSPITAL HERNAN HENRIQUEZ ARAVENA, TEMUCO</t>
  </si>
  <si>
    <t>CONSTRUCCION 3° COMPAÑÍA DE BOMBEROS DE PUERTO DOMINGUEZ - SAAVEDRA</t>
  </si>
  <si>
    <t>CONSTRUCCION SISTEMA AGUA POTABLE PUENTE NEGRO, IMPERIAL</t>
  </si>
  <si>
    <t>CONSTRUCCION SIST. AGUA POTABLE BUDI LOS TRONCOS PIDENCO, T. SCHMIDT</t>
  </si>
  <si>
    <t>CONSTRUCCION SISTEMA DE AGUA POTABLE CHESQUE BAJO, VILLARRICA</t>
  </si>
  <si>
    <t>CONSTRUCCION POSTA DE SALUD RURAL VILLA ESPERANZA, COLLIPULLI</t>
  </si>
  <si>
    <t>CONSTRUCCION SIST. AGUA POTABLE CHUCAUCO, SANTA PAULA Y NUEVE DE JULIO, FREIRE</t>
  </si>
  <si>
    <t>REPOSICION ESCUELA BASICA LICANCURA, CURARREHUE</t>
  </si>
  <si>
    <t>CONSTRUCCION A.P.R. RUCACURA, PORMA CHAICHAYEN, FILULAFQUEN, T. SCHMIDT</t>
  </si>
  <si>
    <t>REPOSICION CONSULTORIO GENERAL RURAL CHOLCHOL Y ADECUACIÓN A CESFAM, CHOLCHOL</t>
  </si>
  <si>
    <t>MEJORAMIENTO CAMINOS BASICOS INTERMEDIOS PROVINCIA CAUTIN 2016 - 2018</t>
  </si>
  <si>
    <t>REPOSICION ESCUELA MALALCHE BAJO G-383, CHOLCHOL</t>
  </si>
  <si>
    <t>MEJORAMIENTO PLAZA PABLO NERUDA SECT. EL MIRADOR - ANGOL</t>
  </si>
  <si>
    <t>REPOSICION POSTA SALUD RURAL ANIÑIR - TRAIGUEN</t>
  </si>
  <si>
    <t>CONSTRUCCION APR COIHUECO, PELEHUE, PUNTA RIEL, PONHUITO, T. SCHMIDT</t>
  </si>
  <si>
    <t>REPOSICION ESTADIO MUNICIPAL LASTARRIA</t>
  </si>
  <si>
    <t>CONSTRUCCION SISTEMA DE AGUA POTABLE RURAL JUAN COLIPE, TEMUCO</t>
  </si>
  <si>
    <t>INSTALACION SISTEMA AGUA POTABLE RURAL HUECHOPUDO, MITARRUCAHUE, RELUN, VILLARRICA</t>
  </si>
  <si>
    <t>CONSERVACION CC BB CHUCAUCO SCHLEYER - VIDA NUEVA COM VILLARRICA</t>
  </si>
  <si>
    <t>CONSERVACION CAMINO BASICO CUARTA FAJA, GORBEA</t>
  </si>
  <si>
    <t>CONSERVACION CAMINOS ACCESO A COMUNIDADES INDIGENAS CUNCO 2016</t>
  </si>
  <si>
    <t>CONSERVACION CAMINO ACCESO COMUNIDADES INDIGENAS FREIRE 2016</t>
  </si>
  <si>
    <t>FREIRE</t>
  </si>
  <si>
    <t>CONSERVACION CAMINOS, ACCESOS COMUNIDADES INDIGENAS FREIRE 12</t>
  </si>
  <si>
    <t>CONSERVACION CAMINO ACCESO COMUNIDADES INDIGENAS GALVARINO</t>
  </si>
  <si>
    <t>GALVARINO</t>
  </si>
  <si>
    <t>CONSERVACION CAMINO ACCESO COMUNIDADES INDIGENAS CHOL CHOL</t>
  </si>
  <si>
    <t>CONSERVACION CAMINO ACCESO COMUNIDADES INDIGENAS MELIPEUCO</t>
  </si>
  <si>
    <t>CONSERVACION CAMINO ACCESO COMUNIDADES INDIGENAS FREIRE N° 14</t>
  </si>
  <si>
    <t>CONSERVACION CAMINO ACCESO COMUNIDADES INDIGENAS LAUTARO</t>
  </si>
  <si>
    <t>CONSERVACION CAMINO ACCESO COMUNIDADES INDIGENAS CURARREHUE</t>
  </si>
  <si>
    <t>CONSERVACION CAMINO ACCESO COMUNIDADES INDIGENAS PITRUFQUEN</t>
  </si>
  <si>
    <t>CONSERVACION CAMINO ACCESO COMUNIDADES INDIGENAS PUERTO SAAVEDRA</t>
  </si>
  <si>
    <t>CONSERVACION CAMINO ACCESO COMUNIDADES INDIGENAS VILLARRICA</t>
  </si>
  <si>
    <t>CONSTRUCCION CUARTEL TERCERA COMPAÑÍA DE BOMBEROS TIJERAL, RENAICO</t>
  </si>
  <si>
    <t>CONSERVACION CAMINO ACCESO COMUNIDADES INDIGENAS COLLIPULLI</t>
  </si>
  <si>
    <t>REPOSICION POSTA SALUD RURAL TROYO</t>
  </si>
  <si>
    <t>MEJORAMIENTO CBI RUTA S-464 QUEPE-BOROA, FREIRE</t>
  </si>
  <si>
    <t>CONSTRUCCION OBRAS LACUSTRES RIVERA LAGO VILLARRICA</t>
  </si>
  <si>
    <t>CONSERVACION CC.BB LOS GALPONES QUINQUE COMUY, PITRUFQUEN</t>
  </si>
  <si>
    <t>CONSERVACION CAMINOS ACCESO A COMUNIDADES INDIGENAS DE ERCILLA</t>
  </si>
  <si>
    <t>ERCILLA</t>
  </si>
  <si>
    <t>CONSTRUCCION CUARTEL DE BOMBEROS SEGUNDA FAJA, VILLARRICA</t>
  </si>
  <si>
    <t>REPOSICION ESTACIONES COMUNITARIAS DE SALUD RURAL.</t>
  </si>
  <si>
    <t>REPOSICION ESTACIONES COMUNITARIAS DE SALUD RURAL, COLLIPULLI</t>
  </si>
  <si>
    <t>REPOSICION CALZADA AVDA. B. O H"HIGGINS (ENTRE CARRERA-JEQUIER) LAUTARO</t>
  </si>
  <si>
    <t>CONSTRUCCION SISTEMA AGUA POTABLE RURAL LIUMALLA, HUALAPULLI, COLLICO, VILLARRICA</t>
  </si>
  <si>
    <t>RESTAURACION COMPLEJO IGLESIA PERPETUO SOCORRO, TEMUCO</t>
  </si>
  <si>
    <t>REPOSICION INFRAESTRUCTURA PUBLICA Y ADMINISTRATIVA DEL MONUMENTO NATURAL CERRO ÑIELOL</t>
  </si>
  <si>
    <t>REPOSICION ESCUELA F-308 GUACOLDA LAUTARO</t>
  </si>
  <si>
    <t>CONSTRUCCION CIRCUITO LINEAL URBANO (FAJA EFE), ANGOL</t>
  </si>
  <si>
    <t>HABILITACION ANTIGUO HOSPITAL DE ANGOL PARA BIBLIOTECA MUNICIPAL</t>
  </si>
  <si>
    <t>CONSTRUCCION SISTEMA AGUA POTABLE RURAL MELIRREHUE Y LAS 500, GORBEA</t>
  </si>
  <si>
    <t>Gorbea</t>
  </si>
  <si>
    <t>CONSTRUCCION SISTEMA AGUA POTABLE RURAL MONTRE LLANCAMIL, PERQUENCO</t>
  </si>
  <si>
    <t>REPOSICION BANDEJONES AVDA. CARRERA, CURACAUTIN</t>
  </si>
  <si>
    <t>CURACAUTÍN</t>
  </si>
  <si>
    <t>REPOSICION POSTA SALUD RURAL RADALCO, COMUNA DE CURACAUTIN</t>
  </si>
  <si>
    <t>CONSTRUCCION SISTEMA AGUA POTABLE RURAL ROMOPULLI, SAAVEDRA</t>
  </si>
  <si>
    <t>CONSTRUCCION DE PUNTOS LIMPIOS EN LA REGION DE LA ARAUCANIA</t>
  </si>
  <si>
    <t>REGION</t>
  </si>
  <si>
    <t>CONSTRUCCION SISTEMA DE AGUA POTABLE RURAL BOQUIPULLI ALTO Y BAJO, VILLARRICA</t>
  </si>
  <si>
    <t>HABILITACION TERMINAL DE BUSES INTERURBANOS CIUDAD DE CURACAUTIN</t>
  </si>
  <si>
    <t>CONSTRUCCION PARQUE BARRIO MANUEL RODRIGUEZ, CURACAUTIN</t>
  </si>
  <si>
    <t>CONSERVACION CAMINOS SECTOR FIN FIN - ALTO BOROA COMUNA NUEVA IMPERIAL</t>
  </si>
  <si>
    <t>CONSTRUCCION SISTEMA AGUA POTABLE RURAL LA SIERRA, SAAVEDRA</t>
  </si>
  <si>
    <t>CONSTRUCCION GIMNASIO ESCUELA LOS TRIGALES, TEMUCO</t>
  </si>
  <si>
    <t>MEJORAMIENTO GIMNASIO LICEO LOS ANDES, MELIPEUCO</t>
  </si>
  <si>
    <t>REPOSICION CALZADA AV. OHIGGINS, VICTORIA</t>
  </si>
  <si>
    <t>REPOSICION ESCUELA NICOLAS PEREZ, COLLIPULLI</t>
  </si>
  <si>
    <t>CONSERVACION CAMINO BASICO PATA DE GALLO - TEMUCO 5 MANZANOS, NUEVA IMPERIAL</t>
  </si>
  <si>
    <t>CONSERVACION CAMINO BASICO ALMAGRO PANCUL CARAHUE, COMUNA DE CARAHUE</t>
  </si>
  <si>
    <t>CONSERVACION CAMINO BASICO ACCESO REDUCCION TRARULEMU, ANGOL</t>
  </si>
  <si>
    <t>CONSERVACION CAMINO BASICO ANGOL MANZANAR FUNDO ITRAQUE, ANGOL</t>
  </si>
  <si>
    <t>CONSERVACION CAMINO BASICO PUENTE PEULE - VILLA BOLDOS, TOLTEN</t>
  </si>
  <si>
    <t>CONSERVACION CAMINO MONTEBELLO CHAPO CRUCE OÑOICO, CARAHUE</t>
  </si>
  <si>
    <t>REPOSICION ESCUELA ERICO HORNUNG, COLLIPULLI</t>
  </si>
  <si>
    <t>CONSERVACION CAMINO BASICO LAUREL OÑOICO EL ALMA, SAAVEDRA</t>
  </si>
  <si>
    <t>CONSERVACION CAMINO BASICO CALOF POSTA ESCUELA, COMUNA DE SAAVEDRA</t>
  </si>
  <si>
    <t>CONSERVACION CAMINO BASICO RANCO POSTA ESCUELA COMUNA DE SAAVEDRA</t>
  </si>
  <si>
    <t>CONSERVACION ALUMBRADO PUBLICO COMUNA DE LONCOCHE</t>
  </si>
  <si>
    <t>MEJORAMIENTO CAMINOS BASICOS INTERMEDIOS SUR Y OESTE, REGION DE LA ARAUCANIA</t>
  </si>
  <si>
    <t>MEJORAMIENTO CAMINOS BASICOS INTERMEDIOS NORTE Y ESTE, REGION DE LA ARAUCANIA</t>
  </si>
  <si>
    <t>CONSTRUCCION ELECTRIFICACIÓN RURAL SECTOR RINCONADA, PERQUENCO</t>
  </si>
  <si>
    <t>PERQUENCO</t>
  </si>
  <si>
    <t>CONSTRUCCION ELECTRIFICACION RURAL SECTOR PERQUENCO SUR, PERQUENCO</t>
  </si>
  <si>
    <t xml:space="preserve">CONSTRUCCION ELECTRIFICACIÓN RURAL SECTOR SANTIAGO LINCOÑIR - NECHIFCUE, PADRE LAS CASAS </t>
  </si>
  <si>
    <t>PADRE LAS CASAS</t>
  </si>
  <si>
    <t>CONSTRUCCION ELECTRIFICACION RURAL SECTOR MILLAHUIN, PADRE LAS CASAS</t>
  </si>
  <si>
    <t>MEJORAMIENTO BANDEJONES AVENIDA SUIZA, SEGUNDA ETAPA, TRAIGUÉN</t>
  </si>
  <si>
    <t>TRAIGUÉN</t>
  </si>
  <si>
    <t>CONSTRUCCION ELECTRIFICACION RURAL SECTOR PAILLAHUE Y OTROS, GALVARINO</t>
  </si>
  <si>
    <t>CONSTRUCCION ELECTRIFICACION RURAL SECTOR SANTA ROSA Y OTROS, LOS SAUCES</t>
  </si>
  <si>
    <t>CONSTRUCCION ELECTRIFICACION RURAL SECTOR SAN RAMON Y OTROS, LOS SAUCES</t>
  </si>
  <si>
    <t>REPOSICION RETEN TROVOLHUE, COMUNA DE CARAHUE</t>
  </si>
  <si>
    <t>MEJORAMIENTO CAMINO BASICO INTERMEDIO CHUFQUEN QUINO R-850</t>
  </si>
  <si>
    <t>CONSTRUCCION ELECTRIFICACION RURAL SECTOR REDUCCION CONTRERAS, MOLCO Y EL TESORO, TRAIGUEN</t>
  </si>
  <si>
    <t>CONSTRUCCION ELECTRIFICACION RURAL SECTOR TROMEN BAJO ROMOPULLI, TEMUCO</t>
  </si>
  <si>
    <t>CONSTRUCCION ELECTRIFICACION RURAL EL CANELO LAUREL HUACHO Y OTROS, P. LAS CASAS</t>
  </si>
  <si>
    <t>CONSTRUCCION ELECTRIFICACION RURAL SECTOR LA FONTANA, RUCAPELLAN Y OTROS, ANGOL</t>
  </si>
  <si>
    <t>CONSTRUCCION ELECTRIFICACION RURAL VARIOS SECTORES SUR PAILAN Y OTROS, PUREN</t>
  </si>
  <si>
    <t>CONSTRUCCION ELECTRIFICACION RURAL SANTA INES TOQUIHUE, VICTORIA</t>
  </si>
  <si>
    <t>CONSTRUCCION GIMNASIO OLIMPICO MUNICIPAL</t>
  </si>
  <si>
    <t>CONSTRUCCION ELECTRIFICACION RURAL SECTOR CERRO EL AGUILA Y OTROS, LOS SAUCES</t>
  </si>
  <si>
    <t>MAGALLANES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</si>
</sst>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_-;\-* #,##0.00_-;_-* &quot;-&quot;??_-;_-@_-"/>
    <numFmt numFmtId="164" formatCode="dd/mm/yyyy;@"/>
    <numFmt numFmtId="165" formatCode="_(* #,##0_);_(* \(#,##0\);_(* &quot;-&quot;??_);_(@_)"/>
    <numFmt numFmtId="166" formatCode="_-* #,##0_-;\-* #,##0_-;_-* &quot;-&quot;??_-;_-@_-"/>
    <numFmt numFmtId="167" formatCode="0.00_)"/>
    <numFmt numFmtId="168" formatCode="0_)"/>
    <numFmt numFmtId="169" formatCode="_ * #,##0_ ;_ * \-#,##0_ ;_ * &quot;-&quot;_ ;_ @_ "/>
    <numFmt numFmtId="170" formatCode="#,##0_ ;\-#,##0\ "/>
    <numFmt numFmtId="171" formatCode="#,##0_ ;[Red]\-#,##0\ 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  <scheme val="minor"/>
    </font>
    <font>
      <sz val="8"/>
      <name val="Arial"/>
      <family val="2"/>
    </font>
    <font>
      <sz val="8"/>
      <color rgb="FFFF00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000000"/>
      <name val="Calibri"/>
      <family val="2"/>
    </font>
    <font>
      <b/>
      <sz val="8"/>
      <name val="Arial"/>
      <family val="2"/>
    </font>
    <font>
      <sz val="9"/>
      <name val="Arial"/>
      <family val="2"/>
    </font>
    <font>
      <sz val="9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7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11"/>
      <color rgb="FF9C6500"/>
      <name val="Calibri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8"/>
      <color rgb="FF9C6500"/>
      <name val="Calibri"/>
      <family val="2"/>
      <scheme val="minor"/>
    </font>
    <font>
      <b/>
      <sz val="8"/>
      <color rgb="FFFF0000"/>
      <name val="Calibri"/>
      <family val="2"/>
    </font>
    <font>
      <b/>
      <sz val="8"/>
      <color rgb="FF9C6500"/>
      <name val="Calibri"/>
      <family val="2"/>
    </font>
    <font>
      <sz val="8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4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 style="thin">
        <color indexed="64"/>
      </right>
      <top style="thin">
        <color rgb="FF999999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25" fillId="0" borderId="0"/>
    <xf numFmtId="0" fontId="26" fillId="0" borderId="0"/>
    <xf numFmtId="0" fontId="27" fillId="0" borderId="0"/>
    <xf numFmtId="169" fontId="1" fillId="0" borderId="0" applyFont="0" applyFill="0" applyBorder="0" applyAlignment="0" applyProtection="0"/>
  </cellStyleXfs>
  <cellXfs count="564">
    <xf numFmtId="0" fontId="0" fillId="0" borderId="0" xfId="0"/>
    <xf numFmtId="0" fontId="5" fillId="0" borderId="0" xfId="0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top" wrapText="1"/>
    </xf>
    <xf numFmtId="3" fontId="5" fillId="0" borderId="0" xfId="0" applyNumberFormat="1" applyFont="1" applyAlignment="1">
      <alignment horizontal="left" vertical="top" wrapText="1"/>
    </xf>
    <xf numFmtId="1" fontId="5" fillId="0" borderId="0" xfId="0" applyNumberFormat="1" applyFont="1" applyAlignment="1">
      <alignment horizontal="left" vertical="top" wrapText="1"/>
    </xf>
    <xf numFmtId="3" fontId="5" fillId="0" borderId="0" xfId="0" applyNumberFormat="1" applyFont="1" applyAlignment="1">
      <alignment wrapText="1"/>
    </xf>
    <xf numFmtId="1" fontId="5" fillId="0" borderId="0" xfId="0" applyNumberFormat="1" applyFont="1" applyAlignment="1">
      <alignment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" fillId="3" borderId="7" xfId="2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" fontId="7" fillId="6" borderId="7" xfId="0" applyNumberFormat="1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0" fillId="0" borderId="8" xfId="0" applyFont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3" fontId="11" fillId="0" borderId="3" xfId="0" applyNumberFormat="1" applyFont="1" applyBorder="1" applyAlignment="1">
      <alignment vertical="center" wrapText="1"/>
    </xf>
    <xf numFmtId="3" fontId="4" fillId="0" borderId="3" xfId="0" applyNumberFormat="1" applyFont="1" applyFill="1" applyBorder="1" applyAlignment="1">
      <alignment vertical="center" wrapText="1"/>
    </xf>
    <xf numFmtId="1" fontId="5" fillId="0" borderId="3" xfId="0" applyNumberFormat="1" applyFont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3" fontId="7" fillId="0" borderId="3" xfId="0" applyNumberFormat="1" applyFont="1" applyBorder="1" applyAlignment="1">
      <alignment vertical="center"/>
    </xf>
    <xf numFmtId="3" fontId="4" fillId="0" borderId="3" xfId="0" applyNumberFormat="1" applyFont="1" applyFill="1" applyBorder="1" applyAlignment="1">
      <alignment horizontal="right" vertical="center"/>
    </xf>
    <xf numFmtId="1" fontId="5" fillId="0" borderId="3" xfId="0" applyNumberFormat="1" applyFont="1" applyFill="1" applyBorder="1" applyAlignment="1">
      <alignment horizontal="center" vertical="center" wrapText="1"/>
    </xf>
    <xf numFmtId="3" fontId="5" fillId="0" borderId="3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3" fontId="5" fillId="0" borderId="0" xfId="0" applyNumberFormat="1" applyFont="1" applyAlignment="1">
      <alignment horizontal="left" wrapText="1"/>
    </xf>
    <xf numFmtId="1" fontId="5" fillId="0" borderId="0" xfId="0" applyNumberFormat="1" applyFont="1" applyAlignment="1">
      <alignment horizontal="left" wrapText="1"/>
    </xf>
    <xf numFmtId="3" fontId="14" fillId="2" borderId="3" xfId="1" applyNumberFormat="1" applyFont="1" applyBorder="1" applyAlignment="1">
      <alignment vertical="center"/>
    </xf>
    <xf numFmtId="0" fontId="15" fillId="7" borderId="7" xfId="0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/>
    </xf>
    <xf numFmtId="1" fontId="12" fillId="0" borderId="3" xfId="0" applyNumberFormat="1" applyFont="1" applyFill="1" applyBorder="1" applyAlignment="1">
      <alignment vertical="center" wrapText="1"/>
    </xf>
    <xf numFmtId="16" fontId="5" fillId="0" borderId="3" xfId="0" applyNumberFormat="1" applyFont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left" vertical="center" wrapText="1"/>
    </xf>
    <xf numFmtId="14" fontId="5" fillId="0" borderId="4" xfId="0" applyNumberFormat="1" applyFont="1" applyFill="1" applyBorder="1" applyAlignment="1">
      <alignment horizontal="left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3" fontId="14" fillId="2" borderId="4" xfId="1" applyNumberFormat="1" applyFont="1" applyBorder="1" applyAlignment="1">
      <alignment vertical="center"/>
    </xf>
    <xf numFmtId="0" fontId="7" fillId="7" borderId="15" xfId="0" applyFont="1" applyFill="1" applyBorder="1" applyAlignment="1">
      <alignment horizontal="center" vertical="center" wrapText="1"/>
    </xf>
    <xf numFmtId="0" fontId="7" fillId="7" borderId="16" xfId="0" applyFont="1" applyFill="1" applyBorder="1" applyAlignment="1">
      <alignment horizontal="center" vertical="center" wrapText="1"/>
    </xf>
    <xf numFmtId="3" fontId="4" fillId="0" borderId="17" xfId="0" applyNumberFormat="1" applyFont="1" applyFill="1" applyBorder="1" applyAlignment="1">
      <alignment vertical="center" wrapText="1"/>
    </xf>
    <xf numFmtId="14" fontId="5" fillId="0" borderId="18" xfId="0" applyNumberFormat="1" applyFont="1" applyBorder="1" applyAlignment="1">
      <alignment horizontal="left" vertical="center" wrapText="1"/>
    </xf>
    <xf numFmtId="3" fontId="9" fillId="0" borderId="19" xfId="0" applyNumberFormat="1" applyFont="1" applyFill="1" applyBorder="1" applyAlignment="1">
      <alignment vertical="center" wrapText="1"/>
    </xf>
    <xf numFmtId="14" fontId="5" fillId="0" borderId="18" xfId="0" applyNumberFormat="1" applyFont="1" applyFill="1" applyBorder="1" applyAlignment="1">
      <alignment horizontal="left" vertical="center" wrapText="1"/>
    </xf>
    <xf numFmtId="3" fontId="14" fillId="2" borderId="20" xfId="1" applyNumberFormat="1" applyFont="1" applyBorder="1" applyAlignment="1">
      <alignment vertical="center"/>
    </xf>
    <xf numFmtId="3" fontId="14" fillId="2" borderId="21" xfId="1" applyNumberFormat="1" applyFont="1" applyBorder="1" applyAlignment="1">
      <alignment vertical="center"/>
    </xf>
    <xf numFmtId="3" fontId="14" fillId="2" borderId="22" xfId="1" applyNumberFormat="1" applyFont="1" applyBorder="1" applyAlignment="1">
      <alignment vertical="center"/>
    </xf>
    <xf numFmtId="3" fontId="8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3" fontId="4" fillId="0" borderId="0" xfId="0" applyNumberFormat="1" applyFont="1" applyFill="1" applyBorder="1" applyAlignment="1">
      <alignment vertical="center" wrapText="1"/>
    </xf>
    <xf numFmtId="0" fontId="14" fillId="2" borderId="6" xfId="1" applyFont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10" fontId="5" fillId="0" borderId="0" xfId="0" applyNumberFormat="1" applyFont="1" applyAlignment="1">
      <alignment wrapText="1"/>
    </xf>
    <xf numFmtId="0" fontId="7" fillId="4" borderId="11" xfId="0" applyFont="1" applyFill="1" applyBorder="1" applyAlignment="1">
      <alignment horizontal="center" vertical="center" wrapText="1"/>
    </xf>
    <xf numFmtId="3" fontId="11" fillId="0" borderId="4" xfId="0" applyNumberFormat="1" applyFont="1" applyBorder="1" applyAlignment="1">
      <alignment vertical="center" wrapText="1"/>
    </xf>
    <xf numFmtId="0" fontId="1" fillId="3" borderId="23" xfId="2" applyBorder="1" applyAlignment="1">
      <alignment horizontal="center" vertical="center" wrapText="1"/>
    </xf>
    <xf numFmtId="0" fontId="1" fillId="3" borderId="24" xfId="2" applyBorder="1" applyAlignment="1">
      <alignment horizontal="center" vertical="center" wrapText="1"/>
    </xf>
    <xf numFmtId="0" fontId="1" fillId="3" borderId="25" xfId="2" applyBorder="1" applyAlignment="1">
      <alignment horizontal="center" vertical="center" wrapText="1"/>
    </xf>
    <xf numFmtId="3" fontId="11" fillId="0" borderId="17" xfId="0" applyNumberFormat="1" applyFont="1" applyBorder="1" applyAlignment="1">
      <alignment vertical="center" wrapText="1"/>
    </xf>
    <xf numFmtId="3" fontId="11" fillId="0" borderId="18" xfId="0" applyNumberFormat="1" applyFont="1" applyBorder="1" applyAlignment="1">
      <alignment vertical="center" wrapText="1"/>
    </xf>
    <xf numFmtId="164" fontId="5" fillId="0" borderId="0" xfId="0" applyNumberFormat="1" applyFont="1" applyAlignment="1">
      <alignment horizontal="right" vertical="top" wrapText="1"/>
    </xf>
    <xf numFmtId="164" fontId="5" fillId="0" borderId="0" xfId="0" applyNumberFormat="1" applyFont="1" applyAlignment="1">
      <alignment horizontal="right" wrapText="1"/>
    </xf>
    <xf numFmtId="0" fontId="8" fillId="0" borderId="0" xfId="0" applyFont="1" applyBorder="1" applyAlignment="1">
      <alignment horizontal="center" vertical="center" wrapText="1"/>
    </xf>
    <xf numFmtId="0" fontId="1" fillId="3" borderId="7" xfId="2" applyBorder="1" applyAlignment="1">
      <alignment horizontal="center" vertical="center" wrapText="1"/>
    </xf>
    <xf numFmtId="0" fontId="0" fillId="3" borderId="7" xfId="2" applyFont="1" applyBorder="1" applyAlignment="1">
      <alignment horizontal="center" vertical="center" wrapText="1"/>
    </xf>
    <xf numFmtId="164" fontId="7" fillId="7" borderId="7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/>
    </xf>
    <xf numFmtId="14" fontId="5" fillId="0" borderId="3" xfId="0" applyNumberFormat="1" applyFont="1" applyBorder="1" applyAlignment="1">
      <alignment horizontal="left" vertical="center" wrapText="1"/>
    </xf>
    <xf numFmtId="14" fontId="5" fillId="0" borderId="3" xfId="0" applyNumberFormat="1" applyFont="1" applyFill="1" applyBorder="1" applyAlignment="1">
      <alignment horizontal="left" vertical="center" wrapText="1"/>
    </xf>
    <xf numFmtId="3" fontId="9" fillId="0" borderId="0" xfId="0" applyNumberFormat="1" applyFont="1" applyFill="1" applyAlignment="1">
      <alignment vertical="center" wrapText="1"/>
    </xf>
    <xf numFmtId="3" fontId="11" fillId="0" borderId="3" xfId="0" applyNumberFormat="1" applyFont="1" applyFill="1" applyBorder="1" applyAlignment="1">
      <alignment vertical="center" wrapText="1"/>
    </xf>
    <xf numFmtId="164" fontId="4" fillId="0" borderId="3" xfId="0" applyNumberFormat="1" applyFont="1" applyFill="1" applyBorder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1" fontId="12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14" fillId="2" borderId="6" xfId="1" applyFont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3" fontId="14" fillId="2" borderId="6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3" fontId="12" fillId="0" borderId="3" xfId="0" applyNumberFormat="1" applyFont="1" applyFill="1" applyBorder="1" applyAlignment="1">
      <alignment horizontal="center" vertical="center"/>
    </xf>
    <xf numFmtId="3" fontId="4" fillId="0" borderId="3" xfId="0" applyNumberFormat="1" applyFont="1" applyBorder="1" applyAlignment="1">
      <alignment vertical="center" wrapText="1"/>
    </xf>
    <xf numFmtId="3" fontId="7" fillId="4" borderId="7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0" fontId="5" fillId="5" borderId="0" xfId="0" applyFont="1" applyFill="1" applyAlignment="1" applyProtection="1">
      <alignment wrapText="1"/>
      <protection locked="0"/>
    </xf>
    <xf numFmtId="0" fontId="4" fillId="5" borderId="0" xfId="0" applyFont="1" applyFill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horizontal="center" vertical="center" wrapText="1"/>
      <protection locked="0"/>
    </xf>
    <xf numFmtId="3" fontId="5" fillId="5" borderId="0" xfId="0" applyNumberFormat="1" applyFont="1" applyFill="1" applyAlignment="1" applyProtection="1">
      <alignment horizontal="center" vertical="center" wrapText="1"/>
      <protection locked="0"/>
    </xf>
    <xf numFmtId="1" fontId="5" fillId="5" borderId="0" xfId="0" applyNumberFormat="1" applyFont="1" applyFill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horizontal="left" vertical="top" wrapText="1"/>
      <protection locked="0"/>
    </xf>
    <xf numFmtId="3" fontId="5" fillId="5" borderId="0" xfId="0" applyNumberFormat="1" applyFont="1" applyFill="1" applyAlignment="1" applyProtection="1">
      <alignment horizontal="left" vertical="top" wrapText="1"/>
      <protection locked="0"/>
    </xf>
    <xf numFmtId="1" fontId="5" fillId="5" borderId="0" xfId="0" applyNumberFormat="1" applyFont="1" applyFill="1" applyAlignment="1" applyProtection="1">
      <alignment horizontal="left" vertical="top" wrapText="1"/>
      <protection locked="0"/>
    </xf>
    <xf numFmtId="3" fontId="5" fillId="5" borderId="0" xfId="0" applyNumberFormat="1" applyFont="1" applyFill="1" applyAlignment="1" applyProtection="1">
      <alignment wrapText="1"/>
      <protection locked="0"/>
    </xf>
    <xf numFmtId="1" fontId="5" fillId="5" borderId="0" xfId="0" applyNumberFormat="1" applyFont="1" applyFill="1" applyAlignment="1" applyProtection="1">
      <alignment wrapText="1"/>
      <protection locked="0"/>
    </xf>
    <xf numFmtId="0" fontId="6" fillId="5" borderId="0" xfId="0" applyFont="1" applyFill="1" applyAlignment="1" applyProtection="1">
      <alignment horizontal="center" vertical="center" wrapText="1"/>
      <protection locked="0"/>
    </xf>
    <xf numFmtId="0" fontId="7" fillId="5" borderId="0" xfId="0" applyFont="1" applyFill="1" applyBorder="1" applyAlignment="1" applyProtection="1">
      <alignment horizontal="center" vertical="center" wrapText="1"/>
      <protection locked="0"/>
    </xf>
    <xf numFmtId="0" fontId="8" fillId="5" borderId="0" xfId="0" applyFont="1" applyFill="1" applyBorder="1" applyAlignment="1" applyProtection="1">
      <alignment horizontal="center" vertical="center" wrapText="1"/>
      <protection locked="0"/>
    </xf>
    <xf numFmtId="3" fontId="6" fillId="5" borderId="0" xfId="0" applyNumberFormat="1" applyFont="1" applyFill="1" applyAlignment="1" applyProtection="1">
      <alignment horizontal="center" vertical="center" wrapText="1"/>
      <protection locked="0"/>
    </xf>
    <xf numFmtId="0" fontId="5" fillId="5" borderId="0" xfId="0" applyFont="1" applyFill="1" applyAlignment="1" applyProtection="1">
      <alignment horizontal="center" wrapText="1"/>
      <protection locked="0"/>
    </xf>
    <xf numFmtId="0" fontId="8" fillId="5" borderId="0" xfId="0" applyFont="1" applyFill="1" applyAlignment="1" applyProtection="1">
      <alignment wrapText="1"/>
      <protection locked="0"/>
    </xf>
    <xf numFmtId="0" fontId="8" fillId="5" borderId="0" xfId="0" applyFont="1" applyFill="1" applyAlignment="1" applyProtection="1">
      <alignment horizontal="center" wrapText="1"/>
      <protection locked="0"/>
    </xf>
    <xf numFmtId="0" fontId="5" fillId="5" borderId="0" xfId="0" applyFont="1" applyFill="1" applyAlignment="1" applyProtection="1">
      <alignment vertical="center" wrapText="1"/>
      <protection locked="0"/>
    </xf>
    <xf numFmtId="0" fontId="10" fillId="5" borderId="8" xfId="0" applyFont="1" applyFill="1" applyBorder="1" applyAlignment="1" applyProtection="1">
      <alignment horizontal="center" vertical="center"/>
      <protection locked="0"/>
    </xf>
    <xf numFmtId="3" fontId="7" fillId="5" borderId="3" xfId="0" applyNumberFormat="1" applyFont="1" applyFill="1" applyBorder="1" applyAlignment="1" applyProtection="1">
      <alignment vertical="center"/>
      <protection locked="0"/>
    </xf>
    <xf numFmtId="0" fontId="5" fillId="5" borderId="10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13" fillId="5" borderId="0" xfId="0" applyFont="1" applyFill="1" applyAlignment="1" applyProtection="1">
      <alignment horizontal="left" vertical="top" wrapText="1"/>
      <protection locked="0"/>
    </xf>
    <xf numFmtId="0" fontId="5" fillId="5" borderId="0" xfId="0" applyFont="1" applyFill="1" applyAlignment="1" applyProtection="1">
      <alignment horizontal="left" wrapText="1"/>
      <protection locked="0"/>
    </xf>
    <xf numFmtId="3" fontId="5" fillId="5" borderId="0" xfId="0" applyNumberFormat="1" applyFont="1" applyFill="1" applyAlignment="1" applyProtection="1">
      <alignment horizontal="left" wrapText="1"/>
      <protection locked="0"/>
    </xf>
    <xf numFmtId="1" fontId="5" fillId="5" borderId="0" xfId="0" applyNumberFormat="1" applyFont="1" applyFill="1" applyAlignment="1" applyProtection="1">
      <alignment horizontal="left" wrapText="1"/>
      <protection locked="0"/>
    </xf>
    <xf numFmtId="0" fontId="5" fillId="5" borderId="0" xfId="0" applyFont="1" applyFill="1" applyAlignment="1">
      <alignment wrapText="1"/>
    </xf>
    <xf numFmtId="0" fontId="5" fillId="5" borderId="0" xfId="0" applyFont="1" applyFill="1" applyAlignment="1">
      <alignment vertical="center" wrapText="1"/>
    </xf>
    <xf numFmtId="3" fontId="5" fillId="5" borderId="0" xfId="0" applyNumberFormat="1" applyFont="1" applyFill="1" applyAlignment="1">
      <alignment horizontal="left" vertical="top" wrapText="1"/>
    </xf>
    <xf numFmtId="0" fontId="5" fillId="5" borderId="0" xfId="0" applyFont="1" applyFill="1" applyAlignment="1">
      <alignment horizontal="left" vertical="top" wrapText="1"/>
    </xf>
    <xf numFmtId="1" fontId="5" fillId="5" borderId="0" xfId="0" applyNumberFormat="1" applyFont="1" applyFill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" fontId="6" fillId="0" borderId="0" xfId="0" applyNumberFormat="1" applyFont="1" applyAlignment="1">
      <alignment horizontal="right" vertical="center" wrapText="1"/>
    </xf>
    <xf numFmtId="165" fontId="17" fillId="0" borderId="3" xfId="3" applyNumberFormat="1" applyFont="1" applyFill="1" applyBorder="1"/>
    <xf numFmtId="165" fontId="12" fillId="0" borderId="3" xfId="3" applyNumberFormat="1" applyFont="1" applyFill="1" applyBorder="1"/>
    <xf numFmtId="3" fontId="8" fillId="0" borderId="6" xfId="0" applyNumberFormat="1" applyFont="1" applyBorder="1" applyAlignment="1">
      <alignment horizontal="center" vertical="center" wrapText="1"/>
    </xf>
    <xf numFmtId="3" fontId="7" fillId="6" borderId="1" xfId="0" applyNumberFormat="1" applyFont="1" applyFill="1" applyBorder="1" applyAlignment="1">
      <alignment horizontal="right" vertical="center" wrapText="1"/>
    </xf>
    <xf numFmtId="0" fontId="7" fillId="7" borderId="1" xfId="0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3" fontId="11" fillId="5" borderId="3" xfId="0" applyNumberFormat="1" applyFont="1" applyFill="1" applyBorder="1" applyAlignment="1">
      <alignment vertical="center" wrapText="1"/>
    </xf>
    <xf numFmtId="3" fontId="9" fillId="0" borderId="0" xfId="0" applyNumberFormat="1" applyFont="1" applyFill="1" applyBorder="1" applyAlignment="1">
      <alignment vertical="center" wrapText="1"/>
    </xf>
    <xf numFmtId="3" fontId="4" fillId="8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0" fillId="5" borderId="0" xfId="0" applyFill="1"/>
    <xf numFmtId="0" fontId="0" fillId="5" borderId="0" xfId="0" applyFill="1" applyAlignment="1">
      <alignment horizontal="center"/>
    </xf>
    <xf numFmtId="1" fontId="0" fillId="5" borderId="0" xfId="0" applyNumberFormat="1" applyFill="1" applyAlignment="1">
      <alignment horizontal="center"/>
    </xf>
    <xf numFmtId="0" fontId="0" fillId="5" borderId="0" xfId="0" applyFill="1" applyAlignment="1">
      <alignment wrapText="1"/>
    </xf>
    <xf numFmtId="0" fontId="6" fillId="5" borderId="0" xfId="0" applyFont="1" applyFill="1" applyAlignment="1">
      <alignment horizontal="center" vertical="center" wrapText="1"/>
    </xf>
    <xf numFmtId="3" fontId="5" fillId="5" borderId="0" xfId="0" applyNumberFormat="1" applyFont="1" applyFill="1" applyAlignment="1">
      <alignment wrapText="1"/>
    </xf>
    <xf numFmtId="1" fontId="5" fillId="5" borderId="0" xfId="0" applyNumberFormat="1" applyFont="1" applyFill="1" applyAlignment="1">
      <alignment wrapText="1"/>
    </xf>
    <xf numFmtId="0" fontId="8" fillId="5" borderId="0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wrapText="1"/>
    </xf>
    <xf numFmtId="0" fontId="8" fillId="5" borderId="0" xfId="0" applyFont="1" applyFill="1" applyAlignment="1">
      <alignment wrapText="1"/>
    </xf>
    <xf numFmtId="0" fontId="8" fillId="5" borderId="0" xfId="0" applyFont="1" applyFill="1" applyAlignment="1">
      <alignment horizontal="center" wrapText="1"/>
    </xf>
    <xf numFmtId="3" fontId="23" fillId="5" borderId="3" xfId="0" applyNumberFormat="1" applyFont="1" applyFill="1" applyBorder="1" applyAlignment="1">
      <alignment vertical="center"/>
    </xf>
    <xf numFmtId="3" fontId="16" fillId="5" borderId="3" xfId="0" applyNumberFormat="1" applyFont="1" applyFill="1" applyBorder="1" applyAlignment="1">
      <alignment horizontal="right" vertical="center"/>
    </xf>
    <xf numFmtId="1" fontId="0" fillId="5" borderId="0" xfId="0" applyNumberFormat="1" applyFill="1"/>
    <xf numFmtId="9" fontId="0" fillId="5" borderId="0" xfId="4" applyFont="1" applyFill="1"/>
    <xf numFmtId="0" fontId="22" fillId="5" borderId="0" xfId="0" applyFont="1" applyFill="1" applyAlignment="1"/>
    <xf numFmtId="0" fontId="3" fillId="5" borderId="0" xfId="0" applyFont="1" applyFill="1"/>
    <xf numFmtId="0" fontId="7" fillId="5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1" fillId="3" borderId="3" xfId="2" applyBorder="1" applyAlignment="1">
      <alignment horizontal="center" vertical="center" wrapText="1"/>
    </xf>
    <xf numFmtId="0" fontId="0" fillId="3" borderId="3" xfId="2" applyFont="1" applyBorder="1" applyAlignment="1">
      <alignment horizontal="center" vertical="center" wrapText="1"/>
    </xf>
    <xf numFmtId="0" fontId="3" fillId="3" borderId="3" xfId="2" applyFont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1" fontId="7" fillId="6" borderId="3" xfId="0" applyNumberFormat="1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" fontId="11" fillId="0" borderId="3" xfId="5" applyNumberFormat="1" applyFont="1" applyBorder="1" applyAlignment="1">
      <alignment horizontal="center" vertical="center"/>
    </xf>
    <xf numFmtId="167" fontId="11" fillId="0" borderId="3" xfId="5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166" fontId="11" fillId="5" borderId="3" xfId="3" applyNumberFormat="1" applyFont="1" applyFill="1" applyBorder="1" applyAlignment="1">
      <alignment horizontal="left" vertical="center" wrapText="1" indent="3"/>
    </xf>
    <xf numFmtId="3" fontId="4" fillId="0" borderId="3" xfId="0" applyNumberFormat="1" applyFont="1" applyBorder="1" applyAlignment="1">
      <alignment horizontal="right" vertical="center"/>
    </xf>
    <xf numFmtId="1" fontId="18" fillId="0" borderId="3" xfId="5" applyNumberFormat="1" applyFont="1" applyBorder="1" applyAlignment="1">
      <alignment horizontal="center" vertical="center" wrapText="1"/>
    </xf>
    <xf numFmtId="167" fontId="18" fillId="0" borderId="3" xfId="5" applyFont="1" applyBorder="1" applyAlignment="1">
      <alignment horizontal="left" vertical="center" wrapText="1"/>
    </xf>
    <xf numFmtId="3" fontId="9" fillId="0" borderId="3" xfId="0" applyNumberFormat="1" applyFont="1" applyBorder="1" applyAlignment="1">
      <alignment vertical="center" wrapText="1"/>
    </xf>
    <xf numFmtId="168" fontId="18" fillId="0" borderId="3" xfId="5" applyNumberFormat="1" applyFont="1" applyBorder="1" applyAlignment="1">
      <alignment horizontal="center" vertical="center" wrapText="1"/>
    </xf>
    <xf numFmtId="1" fontId="18" fillId="0" borderId="3" xfId="5" applyNumberFormat="1" applyFont="1" applyBorder="1" applyAlignment="1">
      <alignment horizontal="center" vertical="center"/>
    </xf>
    <xf numFmtId="168" fontId="18" fillId="0" borderId="3" xfId="5" applyNumberFormat="1" applyFont="1" applyBorder="1" applyAlignment="1">
      <alignment horizontal="center" vertical="center"/>
    </xf>
    <xf numFmtId="167" fontId="18" fillId="0" borderId="3" xfId="5" applyFont="1" applyBorder="1" applyAlignment="1">
      <alignment horizontal="left" vertical="center"/>
    </xf>
    <xf numFmtId="0" fontId="12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166" fontId="11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/>
    </xf>
    <xf numFmtId="0" fontId="14" fillId="2" borderId="3" xfId="1" applyFont="1" applyBorder="1" applyAlignment="1">
      <alignment horizontal="center" wrapText="1"/>
    </xf>
    <xf numFmtId="166" fontId="11" fillId="0" borderId="3" xfId="3" applyNumberFormat="1" applyFont="1" applyBorder="1" applyAlignment="1">
      <alignment horizontal="right" vertical="center" wrapText="1"/>
    </xf>
    <xf numFmtId="0" fontId="10" fillId="0" borderId="29" xfId="0" applyFont="1" applyBorder="1" applyAlignment="1">
      <alignment horizontal="center" vertical="center"/>
    </xf>
    <xf numFmtId="166" fontId="12" fillId="0" borderId="3" xfId="3" applyNumberFormat="1" applyFont="1" applyFill="1" applyBorder="1" applyAlignment="1">
      <alignment horizontal="right" vertical="center"/>
    </xf>
    <xf numFmtId="3" fontId="9" fillId="0" borderId="3" xfId="0" applyNumberFormat="1" applyFont="1" applyFill="1" applyBorder="1" applyAlignment="1">
      <alignment vertical="center" wrapText="1"/>
    </xf>
    <xf numFmtId="3" fontId="4" fillId="0" borderId="3" xfId="0" applyNumberFormat="1" applyFont="1" applyFill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166" fontId="5" fillId="0" borderId="3" xfId="3" applyNumberFormat="1" applyFont="1" applyBorder="1" applyAlignment="1">
      <alignment horizontal="right" vertical="center" wrapText="1"/>
    </xf>
    <xf numFmtId="14" fontId="9" fillId="0" borderId="3" xfId="0" applyNumberFormat="1" applyFont="1" applyBorder="1" applyAlignment="1">
      <alignment horizontal="right" vertical="center" wrapText="1"/>
    </xf>
    <xf numFmtId="166" fontId="5" fillId="0" borderId="0" xfId="3" applyNumberFormat="1" applyFont="1" applyAlignment="1">
      <alignment horizontal="right" vertical="center" wrapText="1"/>
    </xf>
    <xf numFmtId="0" fontId="5" fillId="5" borderId="3" xfId="0" applyFont="1" applyFill="1" applyBorder="1" applyAlignment="1">
      <alignment horizontal="center" vertical="center"/>
    </xf>
    <xf numFmtId="1" fontId="9" fillId="0" borderId="3" xfId="0" applyNumberFormat="1" applyFont="1" applyBorder="1" applyAlignment="1">
      <alignment horizontal="right" vertical="center"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11" fillId="0" borderId="3" xfId="6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3" xfId="6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 wrapText="1"/>
    </xf>
    <xf numFmtId="0" fontId="5" fillId="5" borderId="9" xfId="0" applyFont="1" applyFill="1" applyBorder="1" applyAlignment="1">
      <alignment horizontal="left" vertical="center" wrapText="1"/>
    </xf>
    <xf numFmtId="3" fontId="4" fillId="5" borderId="3" xfId="0" applyNumberFormat="1" applyFont="1" applyFill="1" applyBorder="1" applyAlignment="1">
      <alignment vertical="center" wrapText="1"/>
    </xf>
    <xf numFmtId="1" fontId="5" fillId="5" borderId="3" xfId="0" applyNumberFormat="1" applyFont="1" applyFill="1" applyBorder="1" applyAlignment="1">
      <alignment horizontal="center" vertical="center" wrapText="1"/>
    </xf>
    <xf numFmtId="14" fontId="5" fillId="5" borderId="3" xfId="0" applyNumberFormat="1" applyFont="1" applyFill="1" applyBorder="1" applyAlignment="1">
      <alignment horizontal="left" vertical="center" wrapText="1"/>
    </xf>
    <xf numFmtId="3" fontId="5" fillId="5" borderId="3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3" fontId="4" fillId="5" borderId="3" xfId="0" applyNumberFormat="1" applyFont="1" applyFill="1" applyBorder="1" applyAlignment="1">
      <alignment horizontal="right" vertical="center"/>
    </xf>
    <xf numFmtId="0" fontId="11" fillId="0" borderId="30" xfId="6" applyFont="1" applyFill="1" applyBorder="1" applyAlignment="1">
      <alignment horizontal="center" vertical="center"/>
    </xf>
    <xf numFmtId="3" fontId="11" fillId="0" borderId="3" xfId="7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3" fontId="4" fillId="0" borderId="31" xfId="0" applyNumberFormat="1" applyFont="1" applyFill="1" applyBorder="1" applyAlignment="1">
      <alignment vertical="center" wrapText="1"/>
    </xf>
    <xf numFmtId="0" fontId="10" fillId="0" borderId="32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vertical="center" wrapText="1"/>
    </xf>
    <xf numFmtId="170" fontId="11" fillId="5" borderId="3" xfId="8" applyNumberFormat="1" applyFont="1" applyFill="1" applyBorder="1" applyAlignment="1">
      <alignment horizontal="center" vertical="center"/>
    </xf>
    <xf numFmtId="169" fontId="11" fillId="5" borderId="3" xfId="8" applyFont="1" applyFill="1" applyBorder="1" applyAlignment="1">
      <alignment horizontal="center" vertical="center"/>
    </xf>
    <xf numFmtId="164" fontId="11" fillId="5" borderId="3" xfId="8" applyNumberFormat="1" applyFont="1" applyFill="1" applyBorder="1" applyAlignment="1">
      <alignment horizontal="center" vertical="center"/>
    </xf>
    <xf numFmtId="14" fontId="11" fillId="5" borderId="3" xfId="8" applyNumberFormat="1" applyFont="1" applyFill="1" applyBorder="1" applyAlignment="1">
      <alignment horizontal="center" vertical="center"/>
    </xf>
    <xf numFmtId="164" fontId="5" fillId="5" borderId="0" xfId="0" applyNumberFormat="1" applyFont="1" applyFill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164" fontId="5" fillId="5" borderId="3" xfId="0" applyNumberFormat="1" applyFont="1" applyFill="1" applyBorder="1" applyAlignment="1">
      <alignment vertical="center" wrapText="1"/>
    </xf>
    <xf numFmtId="0" fontId="5" fillId="5" borderId="0" xfId="0" applyFont="1" applyFill="1" applyBorder="1" applyAlignment="1">
      <alignment horizontal="center" wrapText="1"/>
    </xf>
    <xf numFmtId="164" fontId="5" fillId="5" borderId="0" xfId="0" applyNumberFormat="1" applyFont="1" applyFill="1" applyAlignment="1">
      <alignment wrapText="1"/>
    </xf>
    <xf numFmtId="0" fontId="5" fillId="5" borderId="0" xfId="0" applyFont="1" applyFill="1" applyAlignment="1">
      <alignment horizontal="left" wrapText="1"/>
    </xf>
    <xf numFmtId="3" fontId="5" fillId="5" borderId="0" xfId="0" applyNumberFormat="1" applyFont="1" applyFill="1" applyAlignment="1">
      <alignment horizontal="left" wrapText="1"/>
    </xf>
    <xf numFmtId="164" fontId="5" fillId="5" borderId="0" xfId="0" applyNumberFormat="1" applyFont="1" applyFill="1" applyAlignment="1">
      <alignment horizontal="left" wrapText="1"/>
    </xf>
    <xf numFmtId="1" fontId="5" fillId="5" borderId="0" xfId="0" applyNumberFormat="1" applyFont="1" applyFill="1" applyAlignment="1">
      <alignment horizontal="left" wrapText="1"/>
    </xf>
    <xf numFmtId="169" fontId="5" fillId="5" borderId="0" xfId="0" applyNumberFormat="1" applyFont="1" applyFill="1" applyAlignment="1">
      <alignment horizontal="left" wrapText="1"/>
    </xf>
    <xf numFmtId="169" fontId="5" fillId="5" borderId="0" xfId="0" applyNumberFormat="1" applyFont="1" applyFill="1" applyAlignment="1">
      <alignment wrapText="1"/>
    </xf>
    <xf numFmtId="0" fontId="5" fillId="5" borderId="0" xfId="0" applyFont="1" applyFill="1" applyAlignment="1">
      <alignment horizontal="center" vertical="center" wrapText="1"/>
    </xf>
    <xf numFmtId="3" fontId="5" fillId="5" borderId="0" xfId="0" applyNumberFormat="1" applyFont="1" applyFill="1" applyAlignment="1">
      <alignment horizontal="center" vertical="center" wrapText="1"/>
    </xf>
    <xf numFmtId="164" fontId="5" fillId="5" borderId="0" xfId="0" applyNumberFormat="1" applyFont="1" applyFill="1" applyAlignment="1">
      <alignment horizontal="center" vertical="center" wrapText="1"/>
    </xf>
    <xf numFmtId="1" fontId="5" fillId="5" borderId="0" xfId="0" applyNumberFormat="1" applyFont="1" applyFill="1" applyAlignment="1">
      <alignment horizontal="center" vertical="center" wrapText="1"/>
    </xf>
    <xf numFmtId="164" fontId="5" fillId="5" borderId="0" xfId="0" applyNumberFormat="1" applyFont="1" applyFill="1" applyAlignment="1">
      <alignment horizontal="left" vertical="top" wrapText="1"/>
    </xf>
    <xf numFmtId="164" fontId="6" fillId="5" borderId="0" xfId="0" applyNumberFormat="1" applyFont="1" applyFill="1" applyAlignment="1">
      <alignment horizontal="center" vertical="center" wrapText="1"/>
    </xf>
    <xf numFmtId="3" fontId="5" fillId="5" borderId="0" xfId="0" applyNumberFormat="1" applyFont="1" applyFill="1" applyAlignment="1">
      <alignment vertical="center" wrapText="1"/>
    </xf>
    <xf numFmtId="3" fontId="28" fillId="0" borderId="3" xfId="0" applyNumberFormat="1" applyFont="1" applyBorder="1" applyAlignment="1">
      <alignment vertical="center"/>
    </xf>
    <xf numFmtId="166" fontId="11" fillId="0" borderId="3" xfId="3" applyNumberFormat="1" applyFont="1" applyFill="1" applyBorder="1" applyAlignment="1">
      <alignment horizontal="right" vertical="center"/>
    </xf>
    <xf numFmtId="166" fontId="11" fillId="5" borderId="3" xfId="3" applyNumberFormat="1" applyFont="1" applyFill="1" applyBorder="1" applyAlignment="1">
      <alignment horizontal="right" vertical="center"/>
    </xf>
    <xf numFmtId="3" fontId="28" fillId="5" borderId="3" xfId="0" applyNumberFormat="1" applyFont="1" applyFill="1" applyBorder="1" applyAlignment="1">
      <alignment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5" borderId="3" xfId="0" applyNumberFormat="1" applyFont="1" applyFill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30" fillId="0" borderId="3" xfId="0" applyFont="1" applyFill="1" applyBorder="1" applyAlignment="1">
      <alignment vertical="center"/>
    </xf>
    <xf numFmtId="0" fontId="29" fillId="0" borderId="29" xfId="0" applyFont="1" applyBorder="1" applyAlignment="1">
      <alignment horizontal="center" vertical="center"/>
    </xf>
    <xf numFmtId="0" fontId="29" fillId="0" borderId="8" xfId="0" applyFont="1" applyBorder="1" applyAlignment="1">
      <alignment horizontal="left" vertical="center"/>
    </xf>
    <xf numFmtId="0" fontId="11" fillId="0" borderId="3" xfId="6" applyFont="1" applyFill="1" applyBorder="1" applyAlignment="1">
      <alignment vertical="center"/>
    </xf>
    <xf numFmtId="0" fontId="29" fillId="5" borderId="8" xfId="0" applyFont="1" applyFill="1" applyBorder="1" applyAlignment="1">
      <alignment horizontal="center" vertical="center"/>
    </xf>
    <xf numFmtId="0" fontId="11" fillId="5" borderId="3" xfId="6" applyFont="1" applyFill="1" applyBorder="1" applyAlignment="1">
      <alignment vertical="center"/>
    </xf>
    <xf numFmtId="0" fontId="11" fillId="0" borderId="3" xfId="7" applyFont="1" applyFill="1" applyBorder="1" applyAlignment="1">
      <alignment vertical="center"/>
    </xf>
    <xf numFmtId="0" fontId="31" fillId="3" borderId="7" xfId="2" applyFont="1" applyBorder="1" applyAlignment="1">
      <alignment horizontal="center" vertical="center" wrapText="1"/>
    </xf>
    <xf numFmtId="0" fontId="32" fillId="3" borderId="7" xfId="2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3" fontId="0" fillId="0" borderId="0" xfId="0" applyNumberFormat="1"/>
    <xf numFmtId="0" fontId="34" fillId="5" borderId="3" xfId="0" applyFont="1" applyFill="1" applyBorder="1" applyAlignment="1" applyProtection="1">
      <alignment horizontal="center" vertical="center"/>
      <protection locked="0"/>
    </xf>
    <xf numFmtId="0" fontId="34" fillId="5" borderId="3" xfId="0" applyFont="1" applyFill="1" applyBorder="1" applyAlignment="1" applyProtection="1">
      <alignment vertical="center" wrapText="1"/>
      <protection locked="0"/>
    </xf>
    <xf numFmtId="0" fontId="31" fillId="5" borderId="3" xfId="0" applyFont="1" applyFill="1" applyBorder="1" applyAlignment="1" applyProtection="1">
      <alignment horizontal="left" vertical="center" wrapText="1"/>
      <protection locked="0"/>
    </xf>
    <xf numFmtId="49" fontId="34" fillId="5" borderId="3" xfId="0" applyNumberFormat="1" applyFont="1" applyFill="1" applyBorder="1" applyAlignment="1" applyProtection="1">
      <alignment horizontal="center" vertical="center"/>
      <protection locked="0"/>
    </xf>
    <xf numFmtId="3" fontId="34" fillId="5" borderId="3" xfId="0" applyNumberFormat="1" applyFont="1" applyFill="1" applyBorder="1" applyAlignment="1" applyProtection="1">
      <alignment vertical="center" wrapText="1"/>
      <protection locked="0"/>
    </xf>
    <xf numFmtId="3" fontId="33" fillId="5" borderId="3" xfId="0" applyNumberFormat="1" applyFont="1" applyFill="1" applyBorder="1" applyAlignment="1" applyProtection="1">
      <alignment vertical="center" wrapText="1"/>
      <protection locked="0"/>
    </xf>
    <xf numFmtId="1" fontId="31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31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31" fillId="5" borderId="3" xfId="0" applyNumberFormat="1" applyFont="1" applyFill="1" applyBorder="1" applyAlignment="1" applyProtection="1">
      <alignment horizontal="left" vertical="center" wrapText="1"/>
      <protection locked="0"/>
    </xf>
    <xf numFmtId="3" fontId="31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31" fillId="5" borderId="3" xfId="0" applyFont="1" applyFill="1" applyBorder="1" applyAlignment="1" applyProtection="1">
      <alignment horizontal="center" vertical="center" wrapText="1"/>
      <protection locked="0"/>
    </xf>
    <xf numFmtId="3" fontId="33" fillId="5" borderId="3" xfId="0" applyNumberFormat="1" applyFont="1" applyFill="1" applyBorder="1" applyAlignment="1" applyProtection="1">
      <alignment horizontal="right" vertical="center"/>
      <protection locked="0"/>
    </xf>
    <xf numFmtId="3" fontId="32" fillId="5" borderId="0" xfId="0" applyNumberFormat="1" applyFont="1" applyFill="1" applyBorder="1" applyAlignment="1" applyProtection="1">
      <alignment vertical="center" wrapText="1"/>
      <protection locked="0"/>
    </xf>
    <xf numFmtId="0" fontId="31" fillId="5" borderId="9" xfId="0" applyFont="1" applyFill="1" applyBorder="1" applyAlignment="1" applyProtection="1">
      <alignment horizontal="left" vertical="center" wrapText="1"/>
      <protection locked="0"/>
    </xf>
    <xf numFmtId="3" fontId="35" fillId="2" borderId="6" xfId="1" applyNumberFormat="1" applyFont="1" applyBorder="1" applyAlignment="1">
      <alignment horizontal="center" wrapText="1"/>
    </xf>
    <xf numFmtId="3" fontId="35" fillId="2" borderId="3" xfId="1" applyNumberFormat="1" applyFont="1" applyBorder="1" applyAlignment="1">
      <alignment vertical="center"/>
    </xf>
    <xf numFmtId="0" fontId="11" fillId="0" borderId="3" xfId="0" applyFont="1" applyFill="1" applyBorder="1" applyAlignment="1">
      <alignment vertical="center" wrapText="1"/>
    </xf>
    <xf numFmtId="3" fontId="11" fillId="0" borderId="3" xfId="0" applyNumberFormat="1" applyFont="1" applyFill="1" applyBorder="1" applyAlignment="1">
      <alignment horizontal="center" vertical="center"/>
    </xf>
    <xf numFmtId="3" fontId="4" fillId="0" borderId="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top" wrapText="1"/>
    </xf>
    <xf numFmtId="3" fontId="13" fillId="0" borderId="0" xfId="0" applyNumberFormat="1" applyFont="1" applyAlignment="1">
      <alignment vertical="top" wrapText="1"/>
    </xf>
    <xf numFmtId="166" fontId="5" fillId="0" borderId="0" xfId="3" applyNumberFormat="1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" fontId="6" fillId="0" borderId="0" xfId="0" applyNumberFormat="1" applyFont="1" applyAlignment="1">
      <alignment wrapText="1"/>
    </xf>
    <xf numFmtId="0" fontId="12" fillId="0" borderId="5" xfId="0" applyFont="1" applyFill="1" applyBorder="1" applyAlignment="1">
      <alignment vertical="center" wrapText="1"/>
    </xf>
    <xf numFmtId="0" fontId="10" fillId="0" borderId="33" xfId="0" applyFont="1" applyBorder="1" applyAlignment="1">
      <alignment horizontal="center" vertical="center"/>
    </xf>
    <xf numFmtId="14" fontId="36" fillId="0" borderId="3" xfId="0" applyNumberFormat="1" applyFont="1" applyBorder="1" applyAlignment="1">
      <alignment horizontal="left" vertical="center" wrapText="1"/>
    </xf>
    <xf numFmtId="0" fontId="36" fillId="0" borderId="3" xfId="0" applyFont="1" applyBorder="1" applyAlignment="1">
      <alignment horizontal="center" vertical="center" wrapText="1"/>
    </xf>
    <xf numFmtId="1" fontId="36" fillId="0" borderId="3" xfId="0" applyNumberFormat="1" applyFont="1" applyBorder="1" applyAlignment="1">
      <alignment horizontal="center" vertical="center" wrapText="1"/>
    </xf>
    <xf numFmtId="0" fontId="12" fillId="0" borderId="3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>
      <alignment horizontal="center" vertical="center"/>
    </xf>
    <xf numFmtId="3" fontId="36" fillId="0" borderId="3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 applyProtection="1">
      <alignment horizontal="center"/>
      <protection locked="0"/>
    </xf>
    <xf numFmtId="3" fontId="16" fillId="0" borderId="3" xfId="0" applyNumberFormat="1" applyFont="1" applyFill="1" applyBorder="1" applyAlignment="1">
      <alignment horizontal="right" vertical="center"/>
    </xf>
    <xf numFmtId="3" fontId="23" fillId="0" borderId="3" xfId="0" applyNumberFormat="1" applyFont="1" applyBorder="1" applyAlignment="1">
      <alignment vertical="center"/>
    </xf>
    <xf numFmtId="14" fontId="36" fillId="0" borderId="3" xfId="0" applyNumberFormat="1" applyFont="1" applyBorder="1" applyAlignment="1">
      <alignment horizontal="center" vertical="center" wrapText="1"/>
    </xf>
    <xf numFmtId="3" fontId="12" fillId="0" borderId="3" xfId="0" applyNumberFormat="1" applyFont="1" applyBorder="1" applyAlignment="1">
      <alignment horizontal="center" vertical="center" wrapText="1"/>
    </xf>
    <xf numFmtId="171" fontId="12" fillId="0" borderId="6" xfId="0" applyNumberFormat="1" applyFont="1" applyFill="1" applyBorder="1" applyAlignment="1">
      <alignment horizontal="center"/>
    </xf>
    <xf numFmtId="0" fontId="12" fillId="0" borderId="5" xfId="0" applyFont="1" applyFill="1" applyBorder="1"/>
    <xf numFmtId="0" fontId="36" fillId="0" borderId="3" xfId="0" applyFont="1" applyFill="1" applyBorder="1"/>
    <xf numFmtId="49" fontId="12" fillId="0" borderId="3" xfId="0" applyNumberFormat="1" applyFont="1" applyFill="1" applyBorder="1" applyAlignment="1">
      <alignment horizontal="left"/>
    </xf>
    <xf numFmtId="1" fontId="12" fillId="0" borderId="3" xfId="0" applyNumberFormat="1" applyFont="1" applyFill="1" applyBorder="1" applyAlignment="1">
      <alignment horizontal="center"/>
    </xf>
    <xf numFmtId="0" fontId="37" fillId="0" borderId="33" xfId="0" applyFont="1" applyFill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  <xf numFmtId="171" fontId="12" fillId="0" borderId="0" xfId="0" applyNumberFormat="1" applyFont="1" applyFill="1" applyBorder="1" applyAlignment="1">
      <alignment horizontal="center"/>
    </xf>
    <xf numFmtId="49" fontId="12" fillId="0" borderId="34" xfId="0" applyNumberFormat="1" applyFont="1" applyFill="1" applyBorder="1" applyAlignment="1">
      <alignment horizontal="center" vertical="center"/>
    </xf>
    <xf numFmtId="0" fontId="12" fillId="0" borderId="0" xfId="0" applyFont="1" applyFill="1" applyBorder="1"/>
    <xf numFmtId="0" fontId="36" fillId="0" borderId="34" xfId="0" applyFont="1" applyFill="1" applyBorder="1"/>
    <xf numFmtId="49" fontId="12" fillId="0" borderId="34" xfId="0" applyNumberFormat="1" applyFont="1" applyFill="1" applyBorder="1" applyAlignment="1">
      <alignment horizontal="left"/>
    </xf>
    <xf numFmtId="1" fontId="12" fillId="0" borderId="34" xfId="0" applyNumberFormat="1" applyFont="1" applyFill="1" applyBorder="1" applyAlignment="1">
      <alignment horizontal="center"/>
    </xf>
    <xf numFmtId="3" fontId="12" fillId="0" borderId="0" xfId="0" applyNumberFormat="1" applyFont="1" applyFill="1" applyBorder="1" applyAlignment="1">
      <alignment horizontal="center"/>
    </xf>
    <xf numFmtId="3" fontId="12" fillId="0" borderId="6" xfId="0" applyNumberFormat="1" applyFont="1" applyFill="1" applyBorder="1" applyAlignment="1">
      <alignment horizontal="center"/>
    </xf>
    <xf numFmtId="0" fontId="12" fillId="0" borderId="3" xfId="0" applyFont="1" applyFill="1" applyBorder="1" applyAlignment="1">
      <alignment horizontal="left"/>
    </xf>
    <xf numFmtId="0" fontId="37" fillId="0" borderId="33" xfId="0" applyFont="1" applyBorder="1" applyAlignment="1">
      <alignment horizontal="center" vertical="center"/>
    </xf>
    <xf numFmtId="0" fontId="12" fillId="0" borderId="34" xfId="0" applyFont="1" applyFill="1" applyBorder="1" applyAlignment="1">
      <alignment horizontal="left"/>
    </xf>
    <xf numFmtId="3" fontId="12" fillId="0" borderId="6" xfId="0" applyNumberFormat="1" applyFont="1" applyFill="1" applyBorder="1" applyAlignment="1" applyProtection="1">
      <alignment horizontal="center"/>
      <protection locked="0"/>
    </xf>
    <xf numFmtId="0" fontId="12" fillId="0" borderId="5" xfId="0" applyFont="1" applyFill="1" applyBorder="1" applyAlignment="1" applyProtection="1">
      <alignment horizontal="left"/>
      <protection locked="0"/>
    </xf>
    <xf numFmtId="1" fontId="12" fillId="0" borderId="3" xfId="0" applyNumberFormat="1" applyFont="1" applyFill="1" applyBorder="1" applyAlignment="1" applyProtection="1">
      <alignment horizontal="center"/>
      <protection locked="0"/>
    </xf>
    <xf numFmtId="3" fontId="12" fillId="0" borderId="0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left"/>
      <protection locked="0"/>
    </xf>
    <xf numFmtId="1" fontId="12" fillId="0" borderId="34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36" fillId="0" borderId="3" xfId="0" applyFont="1" applyBorder="1"/>
    <xf numFmtId="0" fontId="36" fillId="0" borderId="34" xfId="0" applyFont="1" applyBorder="1"/>
    <xf numFmtId="0" fontId="37" fillId="0" borderId="29" xfId="0" applyFont="1" applyBorder="1" applyAlignment="1">
      <alignment horizontal="center" vertical="center"/>
    </xf>
    <xf numFmtId="0" fontId="12" fillId="0" borderId="5" xfId="0" applyFont="1" applyFill="1" applyBorder="1" applyAlignment="1" applyProtection="1">
      <alignment horizontal="left" vertical="center"/>
      <protection locked="0"/>
    </xf>
    <xf numFmtId="0" fontId="37" fillId="0" borderId="4" xfId="0" applyFont="1" applyBorder="1" applyAlignment="1">
      <alignment horizontal="center" vertical="center"/>
    </xf>
    <xf numFmtId="0" fontId="37" fillId="0" borderId="35" xfId="0" applyFont="1" applyBorder="1" applyAlignment="1">
      <alignment horizontal="center" vertical="center"/>
    </xf>
    <xf numFmtId="0" fontId="12" fillId="5" borderId="5" xfId="0" applyFont="1" applyFill="1" applyBorder="1"/>
    <xf numFmtId="0" fontId="37" fillId="0" borderId="5" xfId="0" applyFont="1" applyFill="1" applyBorder="1" applyAlignment="1">
      <alignment vertical="center"/>
    </xf>
    <xf numFmtId="1" fontId="37" fillId="0" borderId="3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 applyProtection="1">
      <alignment horizontal="left" vertical="center"/>
      <protection locked="0"/>
    </xf>
    <xf numFmtId="3" fontId="16" fillId="0" borderId="3" xfId="0" applyNumberFormat="1" applyFont="1" applyBorder="1" applyAlignment="1">
      <alignment vertical="center"/>
    </xf>
    <xf numFmtId="0" fontId="37" fillId="0" borderId="0" xfId="0" applyFont="1" applyFill="1" applyBorder="1" applyAlignment="1">
      <alignment vertical="center"/>
    </xf>
    <xf numFmtId="1" fontId="37" fillId="0" borderId="34" xfId="0" applyNumberFormat="1" applyFont="1" applyFill="1" applyBorder="1" applyAlignment="1">
      <alignment horizontal="center" vertical="center"/>
    </xf>
    <xf numFmtId="0" fontId="12" fillId="0" borderId="3" xfId="0" applyFont="1" applyFill="1" applyBorder="1"/>
    <xf numFmtId="171" fontId="12" fillId="0" borderId="34" xfId="0" applyNumberFormat="1" applyFont="1" applyFill="1" applyBorder="1" applyAlignment="1" applyProtection="1">
      <alignment horizontal="center"/>
      <protection locked="0"/>
    </xf>
    <xf numFmtId="49" fontId="12" fillId="0" borderId="9" xfId="0" applyNumberFormat="1" applyFont="1" applyFill="1" applyBorder="1" applyAlignment="1">
      <alignment horizontal="center" vertical="center"/>
    </xf>
    <xf numFmtId="49" fontId="12" fillId="0" borderId="9" xfId="0" applyNumberFormat="1" applyFont="1" applyFill="1" applyBorder="1" applyAlignment="1">
      <alignment horizontal="left"/>
    </xf>
    <xf numFmtId="0" fontId="12" fillId="0" borderId="10" xfId="0" applyFont="1" applyFill="1" applyBorder="1"/>
    <xf numFmtId="171" fontId="12" fillId="0" borderId="3" xfId="0" applyNumberFormat="1" applyFont="1" applyFill="1" applyBorder="1" applyAlignment="1" applyProtection="1">
      <alignment horizontal="center"/>
      <protection locked="0"/>
    </xf>
    <xf numFmtId="0" fontId="36" fillId="0" borderId="31" xfId="0" applyFont="1" applyBorder="1"/>
    <xf numFmtId="0" fontId="12" fillId="0" borderId="0" xfId="0" applyFont="1" applyFill="1" applyBorder="1" applyAlignment="1">
      <alignment horizontal="left"/>
    </xf>
    <xf numFmtId="0" fontId="12" fillId="0" borderId="31" xfId="0" applyFont="1" applyFill="1" applyBorder="1" applyAlignment="1">
      <alignment horizontal="left"/>
    </xf>
    <xf numFmtId="0" fontId="12" fillId="0" borderId="0" xfId="0" applyFont="1" applyFill="1" applyBorder="1" applyAlignment="1">
      <alignment vertical="center"/>
    </xf>
    <xf numFmtId="1" fontId="12" fillId="0" borderId="3" xfId="0" applyNumberFormat="1" applyFont="1" applyFill="1" applyBorder="1" applyAlignment="1">
      <alignment horizontal="center" vertical="center"/>
    </xf>
    <xf numFmtId="171" fontId="12" fillId="0" borderId="34" xfId="0" applyNumberFormat="1" applyFont="1" applyFill="1" applyBorder="1" applyAlignment="1">
      <alignment horizontal="center"/>
    </xf>
    <xf numFmtId="1" fontId="12" fillId="5" borderId="3" xfId="0" applyNumberFormat="1" applyFont="1" applyFill="1" applyBorder="1" applyAlignment="1">
      <alignment horizontal="center" vertical="center"/>
    </xf>
    <xf numFmtId="1" fontId="12" fillId="0" borderId="31" xfId="0" applyNumberFormat="1" applyFont="1" applyFill="1" applyBorder="1" applyAlignment="1">
      <alignment horizontal="center"/>
    </xf>
    <xf numFmtId="3" fontId="12" fillId="0" borderId="3" xfId="0" applyNumberFormat="1" applyFont="1" applyFill="1" applyBorder="1" applyAlignment="1">
      <alignment horizontal="center"/>
    </xf>
    <xf numFmtId="0" fontId="12" fillId="0" borderId="6" xfId="0" applyFont="1" applyFill="1" applyBorder="1"/>
    <xf numFmtId="3" fontId="11" fillId="0" borderId="31" xfId="0" applyNumberFormat="1" applyFont="1" applyFill="1" applyBorder="1" applyAlignment="1">
      <alignment vertical="center" wrapText="1"/>
    </xf>
    <xf numFmtId="3" fontId="11" fillId="0" borderId="31" xfId="0" applyNumberFormat="1" applyFont="1" applyBorder="1" applyAlignment="1">
      <alignment vertical="center" wrapText="1"/>
    </xf>
    <xf numFmtId="3" fontId="12" fillId="0" borderId="31" xfId="0" applyNumberFormat="1" applyFont="1" applyBorder="1" applyAlignment="1">
      <alignment horizontal="center" vertical="center" wrapText="1"/>
    </xf>
    <xf numFmtId="49" fontId="12" fillId="0" borderId="31" xfId="0" applyNumberFormat="1" applyFont="1" applyFill="1" applyBorder="1" applyAlignment="1">
      <alignment horizontal="center" vertical="center"/>
    </xf>
    <xf numFmtId="1" fontId="12" fillId="0" borderId="9" xfId="0" applyNumberFormat="1" applyFont="1" applyFill="1" applyBorder="1" applyAlignment="1">
      <alignment horizontal="center"/>
    </xf>
    <xf numFmtId="0" fontId="33" fillId="4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14" fillId="2" borderId="6" xfId="1" applyFont="1" applyBorder="1" applyAlignment="1">
      <alignment horizontal="center" wrapText="1"/>
    </xf>
    <xf numFmtId="0" fontId="6" fillId="5" borderId="0" xfId="0" applyFont="1" applyFill="1" applyAlignment="1">
      <alignment horizontal="center" vertical="center" wrapText="1"/>
    </xf>
    <xf numFmtId="0" fontId="38" fillId="5" borderId="0" xfId="0" applyFont="1" applyFill="1" applyAlignment="1">
      <alignment vertical="center"/>
    </xf>
    <xf numFmtId="0" fontId="6" fillId="0" borderId="0" xfId="0" applyFont="1" applyAlignment="1">
      <alignment vertical="center" wrapText="1"/>
    </xf>
    <xf numFmtId="3" fontId="6" fillId="0" borderId="0" xfId="0" applyNumberFormat="1" applyFont="1" applyAlignment="1">
      <alignment vertical="center" wrapText="1"/>
    </xf>
    <xf numFmtId="3" fontId="7" fillId="4" borderId="2" xfId="0" applyNumberFormat="1" applyFont="1" applyFill="1" applyBorder="1" applyAlignment="1">
      <alignment horizontal="center" vertical="center" wrapText="1"/>
    </xf>
    <xf numFmtId="3" fontId="8" fillId="0" borderId="0" xfId="0" applyNumberFormat="1" applyFont="1" applyAlignment="1">
      <alignment horizontal="center" wrapText="1"/>
    </xf>
    <xf numFmtId="3" fontId="7" fillId="4" borderId="7" xfId="0" applyNumberFormat="1" applyFont="1" applyFill="1" applyBorder="1" applyAlignment="1">
      <alignment horizontal="center" vertical="center"/>
    </xf>
    <xf numFmtId="3" fontId="1" fillId="3" borderId="7" xfId="2" applyNumberFormat="1" applyBorder="1" applyAlignment="1">
      <alignment horizontal="center" vertical="center" wrapText="1"/>
    </xf>
    <xf numFmtId="3" fontId="0" fillId="3" borderId="7" xfId="2" applyNumberFormat="1" applyFont="1" applyBorder="1" applyAlignment="1">
      <alignment horizontal="center" vertical="center" wrapText="1"/>
    </xf>
    <xf numFmtId="3" fontId="3" fillId="3" borderId="7" xfId="2" applyNumberFormat="1" applyFont="1" applyBorder="1" applyAlignment="1">
      <alignment horizontal="center" vertical="center" wrapText="1"/>
    </xf>
    <xf numFmtId="3" fontId="7" fillId="6" borderId="7" xfId="0" applyNumberFormat="1" applyFont="1" applyFill="1" applyBorder="1" applyAlignment="1">
      <alignment horizontal="center" vertical="center" wrapText="1"/>
    </xf>
    <xf numFmtId="3" fontId="15" fillId="7" borderId="7" xfId="0" applyNumberFormat="1" applyFont="1" applyFill="1" applyBorder="1" applyAlignment="1">
      <alignment horizontal="center" vertical="center" wrapText="1"/>
    </xf>
    <xf numFmtId="3" fontId="12" fillId="0" borderId="3" xfId="0" applyNumberFormat="1" applyFont="1" applyFill="1" applyBorder="1" applyAlignment="1">
      <alignment horizontal="right" vertical="center"/>
    </xf>
    <xf numFmtId="3" fontId="5" fillId="0" borderId="0" xfId="0" applyNumberFormat="1" applyFont="1" applyAlignment="1">
      <alignment horizontal="center" wrapText="1"/>
    </xf>
    <xf numFmtId="14" fontId="12" fillId="0" borderId="3" xfId="0" applyNumberFormat="1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5" fillId="5" borderId="3" xfId="0" applyFont="1" applyFill="1" applyBorder="1" applyAlignment="1">
      <alignment horizontal="center"/>
    </xf>
    <xf numFmtId="1" fontId="5" fillId="5" borderId="3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wrapText="1"/>
    </xf>
    <xf numFmtId="0" fontId="5" fillId="5" borderId="3" xfId="0" applyFont="1" applyFill="1" applyBorder="1"/>
    <xf numFmtId="166" fontId="5" fillId="5" borderId="3" xfId="3" applyNumberFormat="1" applyFont="1" applyFill="1" applyBorder="1" applyAlignment="1">
      <alignment horizontal="center"/>
    </xf>
    <xf numFmtId="166" fontId="5" fillId="5" borderId="3" xfId="3" applyNumberFormat="1" applyFont="1" applyFill="1" applyBorder="1"/>
    <xf numFmtId="14" fontId="5" fillId="5" borderId="3" xfId="0" applyNumberFormat="1" applyFont="1" applyFill="1" applyBorder="1"/>
    <xf numFmtId="1" fontId="5" fillId="5" borderId="3" xfId="0" applyNumberFormat="1" applyFont="1" applyFill="1" applyBorder="1"/>
    <xf numFmtId="3" fontId="39" fillId="2" borderId="3" xfId="1" applyNumberFormat="1" applyFont="1" applyBorder="1" applyAlignment="1">
      <alignment vertical="center"/>
    </xf>
    <xf numFmtId="49" fontId="29" fillId="5" borderId="2" xfId="0" applyNumberFormat="1" applyFont="1" applyFill="1" applyBorder="1" applyAlignment="1">
      <alignment horizontal="center" vertical="center" wrapText="1"/>
    </xf>
    <xf numFmtId="49" fontId="5" fillId="5" borderId="26" xfId="0" applyNumberFormat="1" applyFont="1" applyFill="1" applyBorder="1" applyAlignment="1">
      <alignment horizontal="center" vertical="center" wrapText="1"/>
    </xf>
    <xf numFmtId="0" fontId="29" fillId="5" borderId="2" xfId="0" applyFont="1" applyFill="1" applyBorder="1" applyAlignment="1">
      <alignment horizontal="left" vertical="center" wrapText="1"/>
    </xf>
    <xf numFmtId="166" fontId="11" fillId="0" borderId="3" xfId="3" applyNumberFormat="1" applyFont="1" applyFill="1" applyBorder="1" applyAlignment="1">
      <alignment horizontal="center" vertical="center"/>
    </xf>
    <xf numFmtId="3" fontId="29" fillId="5" borderId="3" xfId="0" applyNumberFormat="1" applyFont="1" applyFill="1" applyBorder="1" applyAlignment="1">
      <alignment horizontal="right" vertical="center" wrapText="1"/>
    </xf>
    <xf numFmtId="49" fontId="5" fillId="0" borderId="9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right" vertical="center" wrapText="1"/>
    </xf>
    <xf numFmtId="49" fontId="5" fillId="0" borderId="27" xfId="0" applyNumberFormat="1" applyFont="1" applyBorder="1" applyAlignment="1">
      <alignment horizontal="center" vertical="center"/>
    </xf>
    <xf numFmtId="49" fontId="5" fillId="0" borderId="28" xfId="0" applyNumberFormat="1" applyFont="1" applyBorder="1" applyAlignment="1">
      <alignment horizontal="center" vertical="center"/>
    </xf>
    <xf numFmtId="49" fontId="29" fillId="0" borderId="8" xfId="0" applyNumberFormat="1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3" fontId="11" fillId="0" borderId="3" xfId="0" applyNumberFormat="1" applyFont="1" applyFill="1" applyBorder="1" applyAlignment="1">
      <alignment horizontal="right" vertical="center" wrapText="1"/>
    </xf>
    <xf numFmtId="1" fontId="5" fillId="0" borderId="3" xfId="0" quotePrefix="1" applyNumberFormat="1" applyFont="1" applyBorder="1" applyAlignment="1">
      <alignment horizontal="center" vertical="center" wrapText="1"/>
    </xf>
    <xf numFmtId="166" fontId="6" fillId="0" borderId="0" xfId="3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14" fontId="3" fillId="6" borderId="10" xfId="0" applyNumberFormat="1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166" fontId="7" fillId="4" borderId="7" xfId="3" applyNumberFormat="1" applyFont="1" applyFill="1" applyBorder="1" applyAlignment="1">
      <alignment horizontal="center" vertical="center" wrapText="1"/>
    </xf>
    <xf numFmtId="14" fontId="7" fillId="6" borderId="7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wrapText="1"/>
    </xf>
    <xf numFmtId="0" fontId="34" fillId="0" borderId="3" xfId="0" applyFont="1" applyFill="1" applyBorder="1" applyAlignment="1">
      <alignment horizontal="left" vertical="center" wrapText="1"/>
    </xf>
    <xf numFmtId="0" fontId="31" fillId="0" borderId="3" xfId="0" applyFont="1" applyFill="1" applyBorder="1" applyAlignment="1">
      <alignment horizontal="left" vertical="center" wrapText="1"/>
    </xf>
    <xf numFmtId="49" fontId="34" fillId="0" borderId="3" xfId="0" applyNumberFormat="1" applyFont="1" applyFill="1" applyBorder="1" applyAlignment="1">
      <alignment horizontal="center" vertical="center"/>
    </xf>
    <xf numFmtId="166" fontId="34" fillId="0" borderId="3" xfId="3" applyNumberFormat="1" applyFont="1" applyFill="1" applyBorder="1" applyAlignment="1">
      <alignment horizontal="center" vertical="center"/>
    </xf>
    <xf numFmtId="166" fontId="34" fillId="0" borderId="3" xfId="3" applyNumberFormat="1" applyFont="1" applyFill="1" applyBorder="1" applyAlignment="1">
      <alignment vertical="center" wrapText="1"/>
    </xf>
    <xf numFmtId="166" fontId="34" fillId="0" borderId="3" xfId="3" applyNumberFormat="1" applyFont="1" applyBorder="1" applyAlignment="1">
      <alignment vertical="center" wrapText="1"/>
    </xf>
    <xf numFmtId="3" fontId="34" fillId="0" borderId="3" xfId="0" applyNumberFormat="1" applyFont="1" applyBorder="1" applyAlignment="1">
      <alignment vertical="center" wrapText="1"/>
    </xf>
    <xf numFmtId="3" fontId="33" fillId="0" borderId="3" xfId="0" applyNumberFormat="1" applyFont="1" applyFill="1" applyBorder="1" applyAlignment="1">
      <alignment vertical="center" wrapText="1"/>
    </xf>
    <xf numFmtId="1" fontId="31" fillId="0" borderId="3" xfId="0" applyNumberFormat="1" applyFont="1" applyFill="1" applyBorder="1" applyAlignment="1">
      <alignment horizontal="center" vertical="center" wrapText="1"/>
    </xf>
    <xf numFmtId="14" fontId="31" fillId="0" borderId="3" xfId="0" applyNumberFormat="1" applyFont="1" applyBorder="1" applyAlignment="1">
      <alignment horizontal="right" vertical="center" wrapText="1"/>
    </xf>
    <xf numFmtId="14" fontId="31" fillId="0" borderId="3" xfId="0" applyNumberFormat="1" applyFont="1" applyFill="1" applyBorder="1" applyAlignment="1">
      <alignment horizontal="left" vertical="center" wrapText="1"/>
    </xf>
    <xf numFmtId="3" fontId="31" fillId="0" borderId="3" xfId="0" applyNumberFormat="1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14" fontId="31" fillId="0" borderId="3" xfId="0" applyNumberFormat="1" applyFont="1" applyBorder="1" applyAlignment="1">
      <alignment horizontal="left" vertical="center" wrapText="1"/>
    </xf>
    <xf numFmtId="3" fontId="33" fillId="0" borderId="3" xfId="0" applyNumberFormat="1" applyFont="1" applyFill="1" applyBorder="1" applyAlignment="1">
      <alignment horizontal="right" vertical="center"/>
    </xf>
    <xf numFmtId="0" fontId="31" fillId="0" borderId="0" xfId="0" applyFont="1" applyAlignment="1">
      <alignment vertical="center" wrapText="1"/>
    </xf>
    <xf numFmtId="3" fontId="34" fillId="0" borderId="3" xfId="0" applyNumberFormat="1" applyFont="1" applyFill="1" applyBorder="1" applyAlignment="1">
      <alignment vertical="center" wrapText="1"/>
    </xf>
    <xf numFmtId="1" fontId="31" fillId="0" borderId="3" xfId="0" applyNumberFormat="1" applyFont="1" applyBorder="1" applyAlignment="1">
      <alignment horizontal="center" vertical="center" wrapText="1"/>
    </xf>
    <xf numFmtId="3" fontId="31" fillId="0" borderId="3" xfId="0" applyNumberFormat="1" applyFont="1" applyBorder="1" applyAlignment="1">
      <alignment horizontal="center" vertical="center" wrapText="1"/>
    </xf>
    <xf numFmtId="3" fontId="33" fillId="0" borderId="0" xfId="0" applyNumberFormat="1" applyFont="1" applyFill="1" applyBorder="1" applyAlignment="1">
      <alignment vertical="center" wrapText="1"/>
    </xf>
    <xf numFmtId="166" fontId="34" fillId="0" borderId="3" xfId="3" applyNumberFormat="1" applyFont="1" applyFill="1" applyBorder="1" applyAlignment="1">
      <alignment horizontal="right" vertical="center" wrapText="1"/>
    </xf>
    <xf numFmtId="0" fontId="31" fillId="0" borderId="9" xfId="0" applyFont="1" applyFill="1" applyBorder="1" applyAlignment="1">
      <alignment horizontal="left" vertical="center" wrapText="1"/>
    </xf>
    <xf numFmtId="3" fontId="34" fillId="0" borderId="37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3" fontId="34" fillId="0" borderId="9" xfId="0" applyNumberFormat="1" applyFont="1" applyFill="1" applyBorder="1" applyAlignment="1">
      <alignment vertical="center" wrapText="1"/>
    </xf>
    <xf numFmtId="166" fontId="34" fillId="0" borderId="9" xfId="3" applyNumberFormat="1" applyFont="1" applyFill="1" applyBorder="1" applyAlignment="1">
      <alignment vertical="center" wrapText="1"/>
    </xf>
    <xf numFmtId="166" fontId="34" fillId="0" borderId="9" xfId="3" applyNumberFormat="1" applyFont="1" applyFill="1" applyBorder="1" applyAlignment="1">
      <alignment horizontal="center" vertical="center"/>
    </xf>
    <xf numFmtId="166" fontId="34" fillId="0" borderId="9" xfId="3" applyNumberFormat="1" applyFont="1" applyFill="1" applyBorder="1" applyAlignment="1">
      <alignment horizontal="right" vertical="center" wrapText="1"/>
    </xf>
    <xf numFmtId="3" fontId="34" fillId="5" borderId="3" xfId="0" applyNumberFormat="1" applyFont="1" applyFill="1" applyBorder="1" applyAlignment="1">
      <alignment horizontal="right" vertical="center" wrapText="1"/>
    </xf>
    <xf numFmtId="166" fontId="34" fillId="0" borderId="31" xfId="3" applyNumberFormat="1" applyFont="1" applyBorder="1" applyAlignment="1">
      <alignment vertical="center" wrapText="1"/>
    </xf>
    <xf numFmtId="166" fontId="34" fillId="0" borderId="6" xfId="3" applyNumberFormat="1" applyFont="1" applyFill="1" applyBorder="1" applyAlignment="1">
      <alignment vertical="center" wrapText="1"/>
    </xf>
    <xf numFmtId="166" fontId="34" fillId="0" borderId="6" xfId="3" applyNumberFormat="1" applyFont="1" applyFill="1" applyBorder="1" applyAlignment="1">
      <alignment horizontal="center" vertical="center"/>
    </xf>
    <xf numFmtId="3" fontId="40" fillId="0" borderId="3" xfId="0" applyNumberFormat="1" applyFont="1" applyFill="1" applyBorder="1" applyAlignment="1">
      <alignment horizontal="right" vertical="center"/>
    </xf>
    <xf numFmtId="14" fontId="31" fillId="0" borderId="3" xfId="0" applyNumberFormat="1" applyFont="1" applyFill="1" applyBorder="1" applyAlignment="1">
      <alignment horizontal="center" vertical="center" wrapText="1"/>
    </xf>
    <xf numFmtId="3" fontId="32" fillId="0" borderId="3" xfId="0" applyNumberFormat="1" applyFont="1" applyFill="1" applyBorder="1" applyAlignment="1">
      <alignment vertical="center" wrapText="1"/>
    </xf>
    <xf numFmtId="14" fontId="31" fillId="0" borderId="3" xfId="0" applyNumberFormat="1" applyFont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9" xfId="0" applyFont="1" applyBorder="1" applyAlignment="1">
      <alignment horizontal="left" vertical="center" wrapText="1"/>
    </xf>
    <xf numFmtId="166" fontId="41" fillId="2" borderId="3" xfId="3" applyNumberFormat="1" applyFont="1" applyFill="1" applyBorder="1" applyAlignment="1">
      <alignment vertical="center"/>
    </xf>
    <xf numFmtId="3" fontId="41" fillId="2" borderId="3" xfId="1" applyNumberFormat="1" applyFont="1" applyBorder="1" applyAlignment="1">
      <alignment vertical="center"/>
    </xf>
    <xf numFmtId="0" fontId="31" fillId="0" borderId="0" xfId="0" applyFont="1" applyAlignment="1">
      <alignment wrapText="1"/>
    </xf>
    <xf numFmtId="0" fontId="31" fillId="0" borderId="0" xfId="0" applyFont="1" applyBorder="1" applyAlignment="1">
      <alignment horizontal="center" wrapText="1"/>
    </xf>
    <xf numFmtId="0" fontId="31" fillId="0" borderId="0" xfId="0" applyFont="1" applyAlignment="1">
      <alignment horizontal="center" wrapText="1"/>
    </xf>
    <xf numFmtId="166" fontId="31" fillId="0" borderId="0" xfId="3" applyNumberFormat="1" applyFont="1" applyAlignment="1">
      <alignment wrapText="1"/>
    </xf>
    <xf numFmtId="3" fontId="31" fillId="0" borderId="0" xfId="0" applyNumberFormat="1" applyFont="1" applyAlignment="1">
      <alignment wrapText="1"/>
    </xf>
    <xf numFmtId="1" fontId="31" fillId="0" borderId="0" xfId="0" applyNumberFormat="1" applyFont="1" applyAlignment="1">
      <alignment wrapText="1"/>
    </xf>
    <xf numFmtId="0" fontId="42" fillId="0" borderId="0" xfId="0" applyFont="1" applyAlignment="1">
      <alignment vertical="top" wrapText="1"/>
    </xf>
    <xf numFmtId="0" fontId="31" fillId="0" borderId="0" xfId="0" applyFont="1" applyAlignment="1">
      <alignment horizontal="left" wrapText="1"/>
    </xf>
    <xf numFmtId="3" fontId="31" fillId="0" borderId="0" xfId="0" applyNumberFormat="1" applyFont="1" applyAlignment="1">
      <alignment horizontal="left" wrapText="1"/>
    </xf>
    <xf numFmtId="1" fontId="31" fillId="0" borderId="0" xfId="0" applyNumberFormat="1" applyFont="1" applyAlignment="1">
      <alignment horizontal="left" wrapText="1"/>
    </xf>
    <xf numFmtId="14" fontId="31" fillId="0" borderId="0" xfId="0" applyNumberFormat="1" applyFont="1" applyAlignment="1">
      <alignment wrapText="1"/>
    </xf>
    <xf numFmtId="0" fontId="31" fillId="0" borderId="0" xfId="0" applyFont="1" applyFill="1" applyAlignment="1">
      <alignment wrapText="1"/>
    </xf>
    <xf numFmtId="1" fontId="31" fillId="0" borderId="0" xfId="0" applyNumberFormat="1" applyFont="1" applyFill="1" applyAlignment="1">
      <alignment wrapText="1"/>
    </xf>
    <xf numFmtId="14" fontId="31" fillId="0" borderId="0" xfId="0" applyNumberFormat="1" applyFont="1" applyFill="1" applyAlignment="1">
      <alignment wrapText="1"/>
    </xf>
    <xf numFmtId="3" fontId="31" fillId="0" borderId="0" xfId="0" applyNumberFormat="1" applyFont="1" applyFill="1" applyAlignment="1">
      <alignment wrapText="1"/>
    </xf>
    <xf numFmtId="166" fontId="31" fillId="0" borderId="0" xfId="3" applyNumberFormat="1" applyFont="1" applyFill="1" applyAlignment="1">
      <alignment wrapText="1"/>
    </xf>
    <xf numFmtId="166" fontId="31" fillId="0" borderId="0" xfId="0" applyNumberFormat="1" applyFont="1" applyFill="1" applyAlignment="1">
      <alignment wrapText="1"/>
    </xf>
    <xf numFmtId="0" fontId="5" fillId="0" borderId="0" xfId="0" applyFont="1" applyFill="1" applyAlignment="1">
      <alignment wrapText="1"/>
    </xf>
    <xf numFmtId="1" fontId="5" fillId="0" borderId="0" xfId="0" applyNumberFormat="1" applyFont="1" applyFill="1" applyAlignment="1">
      <alignment wrapText="1"/>
    </xf>
    <xf numFmtId="3" fontId="5" fillId="0" borderId="0" xfId="0" applyNumberFormat="1" applyFont="1" applyFill="1" applyAlignment="1">
      <alignment wrapText="1"/>
    </xf>
    <xf numFmtId="14" fontId="5" fillId="0" borderId="0" xfId="0" applyNumberFormat="1" applyFont="1" applyFill="1" applyAlignment="1">
      <alignment wrapText="1"/>
    </xf>
    <xf numFmtId="14" fontId="5" fillId="0" borderId="0" xfId="0" applyNumberFormat="1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14" fillId="2" borderId="3" xfId="1" applyFont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6" fillId="5" borderId="0" xfId="0" applyFont="1" applyFill="1" applyAlignment="1" applyProtection="1">
      <alignment horizontal="center" vertical="center" wrapText="1"/>
      <protection locked="0"/>
    </xf>
    <xf numFmtId="0" fontId="35" fillId="2" borderId="4" xfId="1" applyFont="1" applyBorder="1" applyAlignment="1">
      <alignment horizontal="center" wrapText="1"/>
    </xf>
    <xf numFmtId="0" fontId="35" fillId="2" borderId="5" xfId="1" applyFont="1" applyBorder="1" applyAlignment="1">
      <alignment horizontal="center" wrapText="1"/>
    </xf>
    <xf numFmtId="0" fontId="35" fillId="2" borderId="6" xfId="1" applyFont="1" applyBorder="1" applyAlignment="1">
      <alignment horizontal="center" wrapText="1"/>
    </xf>
    <xf numFmtId="0" fontId="9" fillId="6" borderId="4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14" fillId="2" borderId="4" xfId="1" applyFont="1" applyBorder="1" applyAlignment="1">
      <alignment horizontal="center" wrapText="1"/>
    </xf>
    <xf numFmtId="0" fontId="14" fillId="2" borderId="5" xfId="1" applyFont="1" applyBorder="1" applyAlignment="1">
      <alignment horizontal="center" wrapText="1"/>
    </xf>
    <xf numFmtId="0" fontId="14" fillId="2" borderId="6" xfId="1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13" fillId="0" borderId="0" xfId="0" applyFont="1" applyAlignment="1">
      <alignment horizontal="left" vertical="top" wrapText="1"/>
    </xf>
    <xf numFmtId="0" fontId="5" fillId="5" borderId="0" xfId="0" applyFont="1" applyFill="1" applyAlignment="1">
      <alignment horizontal="left" vertical="top" wrapText="1"/>
    </xf>
    <xf numFmtId="0" fontId="4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5" fillId="5" borderId="10" xfId="0" applyFont="1" applyFill="1" applyBorder="1" applyAlignment="1">
      <alignment horizontal="center" wrapText="1"/>
    </xf>
    <xf numFmtId="0" fontId="13" fillId="5" borderId="0" xfId="0" applyFont="1" applyFill="1" applyAlignment="1">
      <alignment horizontal="left" vertical="top" wrapText="1"/>
    </xf>
    <xf numFmtId="0" fontId="21" fillId="0" borderId="0" xfId="0" applyFont="1" applyAlignment="1">
      <alignment horizontal="left" wrapText="1"/>
    </xf>
    <xf numFmtId="3" fontId="3" fillId="7" borderId="3" xfId="0" applyNumberFormat="1" applyFont="1" applyFill="1" applyBorder="1" applyAlignment="1">
      <alignment horizontal="center" vertical="center" wrapText="1"/>
    </xf>
    <xf numFmtId="0" fontId="41" fillId="2" borderId="4" xfId="1" applyFont="1" applyBorder="1" applyAlignment="1">
      <alignment horizontal="center" wrapText="1"/>
    </xf>
    <xf numFmtId="0" fontId="41" fillId="2" borderId="5" xfId="1" applyFont="1" applyBorder="1" applyAlignment="1">
      <alignment horizontal="center" wrapText="1"/>
    </xf>
    <xf numFmtId="0" fontId="41" fillId="2" borderId="6" xfId="1" applyFont="1" applyBorder="1" applyAlignment="1">
      <alignment horizontal="center" wrapText="1"/>
    </xf>
    <xf numFmtId="0" fontId="31" fillId="0" borderId="10" xfId="0" applyFont="1" applyBorder="1" applyAlignment="1">
      <alignment horizontal="center" wrapText="1"/>
    </xf>
    <xf numFmtId="166" fontId="6" fillId="0" borderId="0" xfId="3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14" fontId="3" fillId="6" borderId="5" xfId="0" applyNumberFormat="1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3" fillId="7" borderId="13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39" fillId="2" borderId="4" xfId="1" applyFont="1" applyBorder="1" applyAlignment="1">
      <alignment horizontal="center" wrapText="1"/>
    </xf>
    <xf numFmtId="0" fontId="39" fillId="2" borderId="5" xfId="1" applyFont="1" applyBorder="1" applyAlignment="1">
      <alignment horizontal="center" wrapText="1"/>
    </xf>
    <xf numFmtId="0" fontId="39" fillId="2" borderId="6" xfId="1" applyFont="1" applyBorder="1" applyAlignment="1">
      <alignment horizontal="center" wrapText="1"/>
    </xf>
    <xf numFmtId="0" fontId="22" fillId="5" borderId="0" xfId="0" applyFont="1" applyFill="1" applyAlignment="1">
      <alignment horizontal="center"/>
    </xf>
  </cellXfs>
  <cellStyles count="9">
    <cellStyle name="40% - Énfasis2" xfId="2" builtinId="35"/>
    <cellStyle name="Millares" xfId="3" builtinId="3"/>
    <cellStyle name="Millares [0] 2" xfId="8"/>
    <cellStyle name="Neutral" xfId="1" builtinId="28"/>
    <cellStyle name="Normal" xfId="0" builtinId="0"/>
    <cellStyle name="Normal 2 4" xfId="7"/>
    <cellStyle name="Normal 3" xfId="6"/>
    <cellStyle name="Normal_Asignac_presup_2002" xfId="5"/>
    <cellStyle name="Porcentaje" xfId="4" builtinId="5"/>
  </cellStyles>
  <dxfs count="9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DERE\Desktop\Nubia\Otras\Informaci&#243;n%20inversiones\URS\AYSE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lanilla%202021\Planillas\1.-%20Planilla%20FNDR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TITULO 31"/>
      <sheetName val="CHILEINDICA"/>
    </sheetNames>
    <sheetDataSet>
      <sheetData sheetId="0"/>
      <sheetData sheetId="1">
        <row r="1">
          <cell r="B1" t="str">
            <v>Código</v>
          </cell>
          <cell r="AD1" t="str">
            <v>Pagado
Enero</v>
          </cell>
          <cell r="AE1" t="str">
            <v>Pagado
Febrero</v>
          </cell>
          <cell r="AF1" t="str">
            <v>Pagado
Marzo</v>
          </cell>
        </row>
        <row r="2">
          <cell r="B2">
            <v>20189906</v>
          </cell>
          <cell r="AD2">
            <v>0</v>
          </cell>
          <cell r="AE2">
            <v>30900000</v>
          </cell>
          <cell r="AF2">
            <v>0</v>
          </cell>
        </row>
        <row r="3">
          <cell r="B3">
            <v>30067992</v>
          </cell>
          <cell r="AD3">
            <v>0</v>
          </cell>
          <cell r="AE3">
            <v>0</v>
          </cell>
          <cell r="AF3">
            <v>3600000</v>
          </cell>
        </row>
        <row r="4">
          <cell r="B4">
            <v>30075319</v>
          </cell>
          <cell r="AD4">
            <v>0</v>
          </cell>
          <cell r="AE4">
            <v>0</v>
          </cell>
          <cell r="AF4">
            <v>0</v>
          </cell>
        </row>
        <row r="5">
          <cell r="B5">
            <v>30081093</v>
          </cell>
          <cell r="AD5">
            <v>0</v>
          </cell>
          <cell r="AE5">
            <v>4500000</v>
          </cell>
          <cell r="AF5">
            <v>0</v>
          </cell>
        </row>
        <row r="6">
          <cell r="B6">
            <v>30102353</v>
          </cell>
          <cell r="AD6">
            <v>0</v>
          </cell>
          <cell r="AE6">
            <v>0</v>
          </cell>
          <cell r="AF6">
            <v>0</v>
          </cell>
        </row>
        <row r="7">
          <cell r="B7">
            <v>30106660</v>
          </cell>
          <cell r="AD7">
            <v>0</v>
          </cell>
          <cell r="AE7">
            <v>55986700</v>
          </cell>
          <cell r="AF7">
            <v>0</v>
          </cell>
        </row>
        <row r="8">
          <cell r="B8">
            <v>30108704</v>
          </cell>
          <cell r="AD8">
            <v>0</v>
          </cell>
          <cell r="AE8">
            <v>0</v>
          </cell>
          <cell r="AF8">
            <v>0</v>
          </cell>
        </row>
        <row r="9">
          <cell r="B9">
            <v>30109116</v>
          </cell>
          <cell r="AD9">
            <v>0</v>
          </cell>
          <cell r="AE9">
            <v>0</v>
          </cell>
          <cell r="AF9">
            <v>0</v>
          </cell>
        </row>
        <row r="10">
          <cell r="B10">
            <v>30111289</v>
          </cell>
          <cell r="AD10">
            <v>0</v>
          </cell>
          <cell r="AE10">
            <v>0</v>
          </cell>
          <cell r="AF10">
            <v>8949050</v>
          </cell>
        </row>
        <row r="11">
          <cell r="B11">
            <v>30120147</v>
          </cell>
          <cell r="AD11">
            <v>0</v>
          </cell>
          <cell r="AE11">
            <v>0</v>
          </cell>
          <cell r="AF11">
            <v>0</v>
          </cell>
        </row>
        <row r="12">
          <cell r="B12">
            <v>30124722</v>
          </cell>
          <cell r="AD12">
            <v>0</v>
          </cell>
          <cell r="AE12">
            <v>0</v>
          </cell>
          <cell r="AF12">
            <v>0</v>
          </cell>
        </row>
        <row r="13">
          <cell r="B13">
            <v>30231576</v>
          </cell>
          <cell r="AD13">
            <v>0</v>
          </cell>
          <cell r="AE13">
            <v>722551654</v>
          </cell>
          <cell r="AF13">
            <v>583565009</v>
          </cell>
        </row>
        <row r="14">
          <cell r="B14">
            <v>30271072</v>
          </cell>
          <cell r="AD14">
            <v>0</v>
          </cell>
          <cell r="AE14">
            <v>39844080</v>
          </cell>
          <cell r="AF14">
            <v>0</v>
          </cell>
        </row>
        <row r="15">
          <cell r="B15">
            <v>30314372</v>
          </cell>
          <cell r="AD15">
            <v>0</v>
          </cell>
          <cell r="AE15">
            <v>0</v>
          </cell>
          <cell r="AF15">
            <v>0</v>
          </cell>
        </row>
        <row r="16">
          <cell r="B16">
            <v>30316123</v>
          </cell>
          <cell r="AD16">
            <v>0</v>
          </cell>
          <cell r="AE16">
            <v>0</v>
          </cell>
          <cell r="AF16">
            <v>0</v>
          </cell>
        </row>
        <row r="17">
          <cell r="B17">
            <v>30335122</v>
          </cell>
          <cell r="AD17">
            <v>0</v>
          </cell>
          <cell r="AE17">
            <v>4344487</v>
          </cell>
          <cell r="AF17">
            <v>0</v>
          </cell>
        </row>
        <row r="18">
          <cell r="B18">
            <v>30335222</v>
          </cell>
          <cell r="AD18">
            <v>0</v>
          </cell>
          <cell r="AE18">
            <v>0</v>
          </cell>
          <cell r="AF18">
            <v>0</v>
          </cell>
        </row>
        <row r="19">
          <cell r="B19">
            <v>30336023</v>
          </cell>
          <cell r="AD19">
            <v>0</v>
          </cell>
          <cell r="AE19">
            <v>0</v>
          </cell>
          <cell r="AF19">
            <v>0</v>
          </cell>
        </row>
        <row r="20">
          <cell r="B20">
            <v>30348584</v>
          </cell>
          <cell r="AD20">
            <v>0</v>
          </cell>
          <cell r="AE20">
            <v>0</v>
          </cell>
          <cell r="AF20">
            <v>0</v>
          </cell>
        </row>
        <row r="21">
          <cell r="B21">
            <v>30378822</v>
          </cell>
          <cell r="AD21">
            <v>0</v>
          </cell>
          <cell r="AE21">
            <v>0</v>
          </cell>
          <cell r="AF21">
            <v>897003</v>
          </cell>
        </row>
        <row r="22">
          <cell r="B22">
            <v>30385677</v>
          </cell>
          <cell r="AD22">
            <v>0</v>
          </cell>
          <cell r="AE22">
            <v>108322265</v>
          </cell>
          <cell r="AF22">
            <v>23787143</v>
          </cell>
        </row>
        <row r="23">
          <cell r="B23">
            <v>30392925</v>
          </cell>
          <cell r="AD23">
            <v>0</v>
          </cell>
          <cell r="AE23">
            <v>0</v>
          </cell>
          <cell r="AF23">
            <v>0</v>
          </cell>
        </row>
        <row r="24">
          <cell r="B24">
            <v>30393735</v>
          </cell>
          <cell r="AD24">
            <v>0</v>
          </cell>
          <cell r="AE24">
            <v>2125357</v>
          </cell>
          <cell r="AF24">
            <v>4250714</v>
          </cell>
        </row>
        <row r="25">
          <cell r="B25">
            <v>30405923</v>
          </cell>
          <cell r="AD25">
            <v>0</v>
          </cell>
          <cell r="AE25">
            <v>0</v>
          </cell>
          <cell r="AF25">
            <v>0</v>
          </cell>
        </row>
        <row r="26">
          <cell r="B26">
            <v>30418427</v>
          </cell>
          <cell r="AD26">
            <v>0</v>
          </cell>
          <cell r="AE26">
            <v>0</v>
          </cell>
          <cell r="AF26">
            <v>0</v>
          </cell>
        </row>
        <row r="27">
          <cell r="B27">
            <v>30423990</v>
          </cell>
          <cell r="AD27">
            <v>0</v>
          </cell>
          <cell r="AE27">
            <v>0</v>
          </cell>
          <cell r="AF27">
            <v>0</v>
          </cell>
        </row>
        <row r="28">
          <cell r="B28">
            <v>30424073</v>
          </cell>
          <cell r="AD28">
            <v>0</v>
          </cell>
          <cell r="AE28">
            <v>0</v>
          </cell>
          <cell r="AF28">
            <v>0</v>
          </cell>
        </row>
        <row r="29">
          <cell r="B29">
            <v>30436139</v>
          </cell>
          <cell r="AD29">
            <v>0</v>
          </cell>
          <cell r="AE29">
            <v>0</v>
          </cell>
          <cell r="AF29">
            <v>0</v>
          </cell>
        </row>
        <row r="30">
          <cell r="B30">
            <v>30453228</v>
          </cell>
          <cell r="AD30">
            <v>0</v>
          </cell>
          <cell r="AE30">
            <v>0</v>
          </cell>
          <cell r="AF30">
            <v>0</v>
          </cell>
        </row>
        <row r="31">
          <cell r="B31">
            <v>30459191</v>
          </cell>
          <cell r="AD31">
            <v>0</v>
          </cell>
          <cell r="AE31">
            <v>20680772</v>
          </cell>
          <cell r="AF31">
            <v>45669402</v>
          </cell>
        </row>
        <row r="32">
          <cell r="B32">
            <v>30459765</v>
          </cell>
          <cell r="AD32">
            <v>0</v>
          </cell>
          <cell r="AE32">
            <v>0</v>
          </cell>
          <cell r="AF32">
            <v>0</v>
          </cell>
        </row>
        <row r="33">
          <cell r="B33">
            <v>30464223</v>
          </cell>
          <cell r="AD33">
            <v>0</v>
          </cell>
          <cell r="AE33">
            <v>0</v>
          </cell>
          <cell r="AF33">
            <v>0</v>
          </cell>
        </row>
        <row r="34">
          <cell r="B34">
            <v>30471034</v>
          </cell>
          <cell r="AD34">
            <v>0</v>
          </cell>
          <cell r="AE34">
            <v>0</v>
          </cell>
          <cell r="AF34">
            <v>0</v>
          </cell>
        </row>
        <row r="35">
          <cell r="B35">
            <v>30473024</v>
          </cell>
          <cell r="AD35">
            <v>0</v>
          </cell>
          <cell r="AE35">
            <v>0</v>
          </cell>
          <cell r="AF35">
            <v>0</v>
          </cell>
        </row>
        <row r="36">
          <cell r="B36">
            <v>30473025</v>
          </cell>
          <cell r="AD36">
            <v>0</v>
          </cell>
          <cell r="AE36">
            <v>0</v>
          </cell>
          <cell r="AF36">
            <v>0</v>
          </cell>
        </row>
        <row r="37">
          <cell r="B37">
            <v>30474284</v>
          </cell>
          <cell r="AD37">
            <v>0</v>
          </cell>
          <cell r="AE37">
            <v>0</v>
          </cell>
          <cell r="AF37">
            <v>0</v>
          </cell>
        </row>
        <row r="38">
          <cell r="B38">
            <v>30474635</v>
          </cell>
          <cell r="AD38">
            <v>0</v>
          </cell>
          <cell r="AE38">
            <v>0</v>
          </cell>
          <cell r="AF38">
            <v>19999999</v>
          </cell>
        </row>
        <row r="39">
          <cell r="B39">
            <v>30480610</v>
          </cell>
          <cell r="AD39">
            <v>0</v>
          </cell>
          <cell r="AE39">
            <v>0</v>
          </cell>
          <cell r="AF39">
            <v>0</v>
          </cell>
        </row>
        <row r="40">
          <cell r="B40">
            <v>30482630</v>
          </cell>
          <cell r="AD40">
            <v>0</v>
          </cell>
          <cell r="AE40">
            <v>0</v>
          </cell>
          <cell r="AF40">
            <v>0</v>
          </cell>
        </row>
        <row r="41">
          <cell r="B41">
            <v>30486557</v>
          </cell>
          <cell r="AD41">
            <v>0</v>
          </cell>
          <cell r="AE41">
            <v>0</v>
          </cell>
          <cell r="AF41">
            <v>0</v>
          </cell>
        </row>
        <row r="42">
          <cell r="B42">
            <v>30486617</v>
          </cell>
          <cell r="AD42">
            <v>0</v>
          </cell>
          <cell r="AE42">
            <v>0</v>
          </cell>
          <cell r="AF42">
            <v>0</v>
          </cell>
        </row>
        <row r="43">
          <cell r="B43">
            <v>30487163</v>
          </cell>
          <cell r="AD43">
            <v>0</v>
          </cell>
          <cell r="AE43">
            <v>0</v>
          </cell>
          <cell r="AF43">
            <v>0</v>
          </cell>
        </row>
        <row r="44">
          <cell r="B44">
            <v>30487374</v>
          </cell>
          <cell r="AD44">
            <v>0</v>
          </cell>
          <cell r="AE44">
            <v>0</v>
          </cell>
          <cell r="AF44">
            <v>0</v>
          </cell>
        </row>
        <row r="45">
          <cell r="B45">
            <v>30487909</v>
          </cell>
          <cell r="AD45">
            <v>0</v>
          </cell>
          <cell r="AE45">
            <v>0</v>
          </cell>
          <cell r="AF45">
            <v>0</v>
          </cell>
        </row>
        <row r="46">
          <cell r="B46">
            <v>40000423</v>
          </cell>
          <cell r="AD46">
            <v>0</v>
          </cell>
          <cell r="AE46">
            <v>0</v>
          </cell>
          <cell r="AF46">
            <v>0</v>
          </cell>
        </row>
        <row r="47">
          <cell r="B47">
            <v>40000471</v>
          </cell>
          <cell r="AD47">
            <v>0</v>
          </cell>
          <cell r="AE47">
            <v>0</v>
          </cell>
          <cell r="AF47">
            <v>0</v>
          </cell>
        </row>
        <row r="48">
          <cell r="B48">
            <v>40000771</v>
          </cell>
          <cell r="AD48">
            <v>0</v>
          </cell>
          <cell r="AE48">
            <v>0</v>
          </cell>
          <cell r="AF48">
            <v>0</v>
          </cell>
        </row>
        <row r="49">
          <cell r="B49">
            <v>40001061</v>
          </cell>
          <cell r="AD49">
            <v>0</v>
          </cell>
          <cell r="AE49">
            <v>0</v>
          </cell>
          <cell r="AF49">
            <v>0</v>
          </cell>
        </row>
        <row r="50">
          <cell r="B50">
            <v>40003760</v>
          </cell>
          <cell r="AD50">
            <v>0</v>
          </cell>
          <cell r="AE50">
            <v>0</v>
          </cell>
          <cell r="AF50">
            <v>0</v>
          </cell>
        </row>
        <row r="51">
          <cell r="B51">
            <v>40005327</v>
          </cell>
          <cell r="AD51">
            <v>0</v>
          </cell>
          <cell r="AE51">
            <v>0</v>
          </cell>
          <cell r="AF51">
            <v>0</v>
          </cell>
        </row>
        <row r="52">
          <cell r="B52">
            <v>40006757</v>
          </cell>
          <cell r="AD52">
            <v>0</v>
          </cell>
          <cell r="AE52">
            <v>0</v>
          </cell>
          <cell r="AF52">
            <v>0</v>
          </cell>
        </row>
        <row r="53">
          <cell r="B53">
            <v>40008577</v>
          </cell>
          <cell r="AD53">
            <v>0</v>
          </cell>
          <cell r="AE53">
            <v>0</v>
          </cell>
          <cell r="AF53">
            <v>0</v>
          </cell>
        </row>
        <row r="54">
          <cell r="B54">
            <v>40009556</v>
          </cell>
          <cell r="AD54">
            <v>0</v>
          </cell>
          <cell r="AE54">
            <v>0</v>
          </cell>
          <cell r="AF54">
            <v>0</v>
          </cell>
        </row>
        <row r="55">
          <cell r="B55">
            <v>40009760</v>
          </cell>
          <cell r="AD55">
            <v>0</v>
          </cell>
          <cell r="AE55">
            <v>0</v>
          </cell>
          <cell r="AF55">
            <v>0</v>
          </cell>
        </row>
        <row r="56">
          <cell r="B56">
            <v>40010007</v>
          </cell>
          <cell r="AD56">
            <v>0</v>
          </cell>
          <cell r="AE56">
            <v>1253010050</v>
          </cell>
          <cell r="AF56">
            <v>1143761960</v>
          </cell>
        </row>
        <row r="57">
          <cell r="B57">
            <v>40011384</v>
          </cell>
          <cell r="AD57">
            <v>0</v>
          </cell>
          <cell r="AE57">
            <v>37981900</v>
          </cell>
          <cell r="AF57">
            <v>0</v>
          </cell>
        </row>
        <row r="58">
          <cell r="B58">
            <v>40012071</v>
          </cell>
          <cell r="AD58">
            <v>0</v>
          </cell>
          <cell r="AE58">
            <v>0</v>
          </cell>
          <cell r="AF58">
            <v>0</v>
          </cell>
        </row>
        <row r="59">
          <cell r="B59">
            <v>40012594</v>
          </cell>
          <cell r="AD59">
            <v>0</v>
          </cell>
          <cell r="AE59">
            <v>0</v>
          </cell>
          <cell r="AF59">
            <v>15220000</v>
          </cell>
        </row>
        <row r="60">
          <cell r="B60">
            <v>40015395</v>
          </cell>
          <cell r="AD60">
            <v>0</v>
          </cell>
          <cell r="AE60">
            <v>0</v>
          </cell>
          <cell r="AF60">
            <v>0</v>
          </cell>
        </row>
        <row r="61">
          <cell r="B61">
            <v>40015402</v>
          </cell>
          <cell r="AD61">
            <v>0</v>
          </cell>
          <cell r="AE61">
            <v>0</v>
          </cell>
          <cell r="AF61">
            <v>78593633</v>
          </cell>
        </row>
        <row r="62">
          <cell r="B62">
            <v>40015449</v>
          </cell>
          <cell r="AD62">
            <v>0</v>
          </cell>
          <cell r="AE62">
            <v>0</v>
          </cell>
          <cell r="AF62">
            <v>0</v>
          </cell>
        </row>
        <row r="63">
          <cell r="B63">
            <v>40021623</v>
          </cell>
          <cell r="AD63">
            <v>0</v>
          </cell>
          <cell r="AE63">
            <v>0</v>
          </cell>
          <cell r="AF63">
            <v>0</v>
          </cell>
        </row>
        <row r="64">
          <cell r="B64">
            <v>40021742</v>
          </cell>
          <cell r="AD64">
            <v>0</v>
          </cell>
          <cell r="AE64">
            <v>5201511</v>
          </cell>
          <cell r="AF64">
            <v>0</v>
          </cell>
        </row>
        <row r="65">
          <cell r="B65">
            <v>40022151</v>
          </cell>
          <cell r="AD65">
            <v>0</v>
          </cell>
          <cell r="AE65">
            <v>0</v>
          </cell>
          <cell r="AF65">
            <v>0</v>
          </cell>
        </row>
        <row r="66">
          <cell r="B66">
            <v>40023066</v>
          </cell>
          <cell r="AD66">
            <v>0</v>
          </cell>
          <cell r="AE66">
            <v>0</v>
          </cell>
          <cell r="AF66">
            <v>0</v>
          </cell>
        </row>
        <row r="67">
          <cell r="B67">
            <v>40027250</v>
          </cell>
          <cell r="AD67">
            <v>0</v>
          </cell>
          <cell r="AE67">
            <v>0</v>
          </cell>
          <cell r="AF67">
            <v>0</v>
          </cell>
        </row>
        <row r="68">
          <cell r="B68">
            <v>40028090</v>
          </cell>
          <cell r="AD68">
            <v>0</v>
          </cell>
          <cell r="AE68">
            <v>0</v>
          </cell>
          <cell r="AF68">
            <v>0</v>
          </cell>
        </row>
        <row r="69">
          <cell r="AD69">
            <v>0</v>
          </cell>
          <cell r="AE69">
            <v>2285448776</v>
          </cell>
          <cell r="AF69">
            <v>1928293913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rastre 2015"/>
      <sheetName val="Arrastre 2016"/>
      <sheetName val="Arrastre 2017 "/>
      <sheetName val="Arrastre 2018"/>
      <sheetName val="Arrastre 2019"/>
      <sheetName val="Arrastre 2020"/>
      <sheetName val="Comprob Asignado vs girado"/>
      <sheetName val="Comprob Asignado por item"/>
      <sheetName val="Por Asignar vs Idi"/>
      <sheetName val="Planilla  2021"/>
      <sheetName val="Hoja2"/>
      <sheetName val="Planilla  2020 (2)"/>
      <sheetName val="Gore Magallanes"/>
      <sheetName val="Madre"/>
      <sheetName val="Comunas y Provisión"/>
      <sheetName val="Unidades Técnicas"/>
      <sheetName val="Proyectos General"/>
      <sheetName val="Detalle Arrastre Nuev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7">
          <cell r="D7">
            <v>30484670</v>
          </cell>
          <cell r="E7" t="str">
            <v>ACTUALIZACION PLAN REGULADOR COMUNA DE SAN GREGORIO, REGIÓN DE MAGALLANES YANTÁRTICA CHILENA</v>
          </cell>
          <cell r="G7" t="str">
            <v>Ejecución</v>
          </cell>
          <cell r="K7" t="str">
            <v>SAN GREGORIO</v>
          </cell>
          <cell r="AK7">
            <v>0</v>
          </cell>
          <cell r="AW7">
            <v>78678</v>
          </cell>
          <cell r="BJ7">
            <v>26532</v>
          </cell>
        </row>
        <row r="8">
          <cell r="D8">
            <v>40013512</v>
          </cell>
          <cell r="E8" t="str">
            <v>DIAGNOSTICO DISEÑO SENDERO MONTE TARN, UBICADO EN BNP CABO FROWARD.</v>
          </cell>
          <cell r="G8" t="str">
            <v>Ejecución</v>
          </cell>
          <cell r="K8" t="str">
            <v>PUNTA ARENAS</v>
          </cell>
          <cell r="AK8">
            <v>0</v>
          </cell>
          <cell r="AW8">
            <v>36978</v>
          </cell>
          <cell r="BJ8">
            <v>35510</v>
          </cell>
        </row>
        <row r="9">
          <cell r="D9">
            <v>30480932</v>
          </cell>
          <cell r="E9" t="str">
            <v>ACTUALIZACION PLADECO COMUNA DE NATALES 2017-2025</v>
          </cell>
          <cell r="G9" t="str">
            <v>Ejecución</v>
          </cell>
          <cell r="K9" t="str">
            <v>NATALES</v>
          </cell>
          <cell r="AK9">
            <v>53742</v>
          </cell>
          <cell r="AW9">
            <v>73259</v>
          </cell>
          <cell r="BJ9">
            <v>0</v>
          </cell>
        </row>
        <row r="10">
          <cell r="D10">
            <v>40004727</v>
          </cell>
          <cell r="E10" t="str">
            <v>ACTUALIZACION PROSECUCIÓN Y TRAMITACIÓN PLAN REGULADOR COMUNA DE PORVENIR</v>
          </cell>
          <cell r="G10" t="str">
            <v>Ejecución</v>
          </cell>
          <cell r="K10" t="str">
            <v>PORVENIR</v>
          </cell>
          <cell r="AK10">
            <v>0</v>
          </cell>
          <cell r="AW10">
            <v>186383</v>
          </cell>
          <cell r="BJ10">
            <v>174233</v>
          </cell>
        </row>
        <row r="11">
          <cell r="D11">
            <v>30076653</v>
          </cell>
          <cell r="E11" t="str">
            <v>MEJORAMIENTO RUTA COSTERA VILLA UKIKA-AEROPUERTO, PTO. WILLIAMS</v>
          </cell>
          <cell r="G11" t="str">
            <v>Ejecución</v>
          </cell>
          <cell r="K11" t="str">
            <v>CABO DE HORNOS</v>
          </cell>
          <cell r="AK11">
            <v>876710</v>
          </cell>
          <cell r="AW11">
            <v>1186275</v>
          </cell>
          <cell r="BJ11">
            <v>0</v>
          </cell>
        </row>
        <row r="12">
          <cell r="D12">
            <v>30081565</v>
          </cell>
          <cell r="E12" t="str">
            <v>CONSTRUCCION INFRAESTRUCTURA PORTUARIA BAHIA FILDES, ANTART CHILENA</v>
          </cell>
          <cell r="G12" t="str">
            <v>Ejecución</v>
          </cell>
          <cell r="K12" t="str">
            <v>INTERCOMUNAL</v>
          </cell>
          <cell r="AK12">
            <v>0</v>
          </cell>
          <cell r="AW12">
            <v>2545473</v>
          </cell>
          <cell r="BJ12">
            <v>2545473</v>
          </cell>
        </row>
        <row r="13">
          <cell r="D13">
            <v>30116594</v>
          </cell>
          <cell r="E13" t="str">
            <v>CONSTRUCCION CENTRO SUBANTÁRTICO CABO DE HORNOS (EJECUCIÓN)</v>
          </cell>
          <cell r="G13" t="str">
            <v>Ejecución</v>
          </cell>
          <cell r="K13" t="str">
            <v>CABO DE HORNOS</v>
          </cell>
          <cell r="AK13">
            <v>9311872</v>
          </cell>
          <cell r="AW13">
            <v>10789247</v>
          </cell>
          <cell r="BJ13">
            <v>2</v>
          </cell>
        </row>
        <row r="14">
          <cell r="D14">
            <v>30119213</v>
          </cell>
          <cell r="E14" t="str">
            <v>AMPLIACION Y REMODELACION SEDE CLUB ESMERALDA, NATALES</v>
          </cell>
          <cell r="G14" t="str">
            <v>Ejecución</v>
          </cell>
          <cell r="K14" t="str">
            <v>NATALES</v>
          </cell>
          <cell r="AK14">
            <v>1437110</v>
          </cell>
          <cell r="AW14">
            <v>1499516</v>
          </cell>
        </row>
        <row r="15">
          <cell r="D15">
            <v>30125308</v>
          </cell>
          <cell r="E15" t="str">
            <v>MEJORAMIENTO ESTANDAR URBANO CALLE 21 DE MAYO (MAGALLANES), P.ARENAS</v>
          </cell>
          <cell r="G15" t="str">
            <v>Ejecución</v>
          </cell>
          <cell r="K15" t="str">
            <v>PUNTA ARENAS</v>
          </cell>
          <cell r="AK15">
            <v>1587709</v>
          </cell>
          <cell r="AW15">
            <v>2013223</v>
          </cell>
          <cell r="BJ15">
            <v>0</v>
          </cell>
        </row>
        <row r="16">
          <cell r="D16">
            <v>30130471</v>
          </cell>
          <cell r="E16" t="str">
            <v>MEJORAMIENTO Y CONSERVACION PLAZA BENJA MUÑOZ GAMERO,PUNTA ARENAS</v>
          </cell>
          <cell r="G16" t="str">
            <v>Ejecución</v>
          </cell>
          <cell r="K16" t="str">
            <v>PUNTA ARENAS</v>
          </cell>
          <cell r="AK16">
            <v>0</v>
          </cell>
          <cell r="AW16">
            <v>987306</v>
          </cell>
          <cell r="BJ16">
            <v>325867</v>
          </cell>
        </row>
        <row r="17">
          <cell r="D17">
            <v>30137224</v>
          </cell>
          <cell r="E17" t="str">
            <v>CONSTRUCCION INFRAEST. PORTUARIA MULTIPROPOSITO PUERTO WILLIAMS</v>
          </cell>
          <cell r="G17" t="str">
            <v>Ejecución</v>
          </cell>
          <cell r="K17" t="str">
            <v>CABO DE HORNOS</v>
          </cell>
          <cell r="AK17">
            <v>44722</v>
          </cell>
          <cell r="AW17">
            <v>18470253</v>
          </cell>
          <cell r="BJ17">
            <v>13235531</v>
          </cell>
        </row>
        <row r="18">
          <cell r="D18">
            <v>30179022</v>
          </cell>
          <cell r="E18" t="str">
            <v>CONSTRUCCION PISCINA TERAPEUT. CRUZ DEL SUR PORVENIR</v>
          </cell>
          <cell r="G18" t="str">
            <v>Ejecución</v>
          </cell>
          <cell r="K18" t="str">
            <v>PORVENIR</v>
          </cell>
          <cell r="AK18">
            <v>0</v>
          </cell>
          <cell r="AW18">
            <v>624401</v>
          </cell>
          <cell r="BJ18">
            <v>193136</v>
          </cell>
        </row>
        <row r="19">
          <cell r="D19">
            <v>30187822</v>
          </cell>
          <cell r="E19" t="str">
            <v>CONSTRUCCION SEDE SOCIAL JUNTA DE VECINOS LLAU LLAU, PUNTA ARENAS</v>
          </cell>
          <cell r="G19" t="str">
            <v>Ejecución</v>
          </cell>
          <cell r="K19" t="str">
            <v>PUNTA ARENAS</v>
          </cell>
          <cell r="AK19">
            <v>0</v>
          </cell>
          <cell r="AW19">
            <v>303134</v>
          </cell>
          <cell r="BJ19">
            <v>0</v>
          </cell>
        </row>
        <row r="20">
          <cell r="D20">
            <v>30255172</v>
          </cell>
          <cell r="E20" t="str">
            <v>REPOSICION BIBLIOTECA MUNICIPAL N° 114 COMUNA DE PUNTA ARENAS</v>
          </cell>
          <cell r="G20" t="str">
            <v>Ejecución</v>
          </cell>
          <cell r="K20" t="str">
            <v>PUNTA ARENAS</v>
          </cell>
          <cell r="AK20">
            <v>1431672</v>
          </cell>
          <cell r="AW20">
            <v>2533253</v>
          </cell>
          <cell r="BJ20">
            <v>0</v>
          </cell>
        </row>
        <row r="21">
          <cell r="D21">
            <v>30310124</v>
          </cell>
          <cell r="E21" t="str">
            <v>MEJORAMIENTO RUTA Y-65, PORVENIR-MANANTIALES, ETAPA I, T.DEL FUEGO</v>
          </cell>
          <cell r="G21" t="str">
            <v>Ejecución</v>
          </cell>
          <cell r="K21" t="str">
            <v>INTERCOMUNAL</v>
          </cell>
          <cell r="AK21">
            <v>59330605</v>
          </cell>
          <cell r="AW21">
            <v>102196109</v>
          </cell>
          <cell r="BJ21">
            <v>0</v>
          </cell>
        </row>
        <row r="22">
          <cell r="D22">
            <v>30380938</v>
          </cell>
          <cell r="E22" t="str">
            <v>CONSTRUCCION CANCHA DE PASTO SINTÉTICO DE FÚTBOL INFANTIL, NATALES</v>
          </cell>
          <cell r="G22" t="str">
            <v>Ejecución</v>
          </cell>
          <cell r="K22" t="str">
            <v>NATALES</v>
          </cell>
          <cell r="AK22">
            <v>443308</v>
          </cell>
          <cell r="AW22">
            <v>601717</v>
          </cell>
          <cell r="BJ22">
            <v>32690</v>
          </cell>
        </row>
        <row r="23">
          <cell r="D23">
            <v>30400822</v>
          </cell>
          <cell r="E23" t="str">
            <v>MEJORAMIENTO CALLE LAS HERAS (VERGARA-COSTANERA), PUNTA ARENAS</v>
          </cell>
          <cell r="G23" t="str">
            <v>Ejecución</v>
          </cell>
          <cell r="K23" t="str">
            <v>PUNTA ARENAS</v>
          </cell>
          <cell r="AK23">
            <v>261205</v>
          </cell>
          <cell r="AW23">
            <v>925709</v>
          </cell>
          <cell r="BJ23">
            <v>590</v>
          </cell>
        </row>
        <row r="24">
          <cell r="D24">
            <v>30406024</v>
          </cell>
          <cell r="E24" t="str">
            <v>MEJORAMIENTO RUTA DE NAVEGACION CANAL KIRKE, ULTIMA ESPERANZA (DISEÑO)</v>
          </cell>
          <cell r="G24" t="str">
            <v>Diseño</v>
          </cell>
          <cell r="K24" t="str">
            <v>INTERCOMUNAL</v>
          </cell>
          <cell r="AK24">
            <v>750803</v>
          </cell>
          <cell r="AW24">
            <v>812153</v>
          </cell>
          <cell r="BJ24">
            <v>0</v>
          </cell>
        </row>
        <row r="25">
          <cell r="D25">
            <v>30447940</v>
          </cell>
          <cell r="E25" t="str">
            <v>CONSTRUCCION MONUMENTO PILOTO PARDO, PUNTA ARENAS</v>
          </cell>
          <cell r="G25" t="str">
            <v>Ejecución</v>
          </cell>
          <cell r="K25" t="str">
            <v>PUNTA ARENAS</v>
          </cell>
          <cell r="AK25">
            <v>594365</v>
          </cell>
          <cell r="AW25">
            <v>624577</v>
          </cell>
          <cell r="BJ25">
            <v>0</v>
          </cell>
        </row>
        <row r="26">
          <cell r="D26">
            <v>30452024</v>
          </cell>
          <cell r="E26" t="str">
            <v>CONSTRUCCION ENERGIZACION RURAL, SECTOR ANDINO, PUNTA ARENAS</v>
          </cell>
          <cell r="G26" t="str">
            <v>Ejecución</v>
          </cell>
          <cell r="K26" t="str">
            <v>PUNTA ARENAS</v>
          </cell>
          <cell r="AK26">
            <v>39007</v>
          </cell>
          <cell r="AW26">
            <v>82460</v>
          </cell>
          <cell r="BJ26">
            <v>0</v>
          </cell>
        </row>
        <row r="27">
          <cell r="D27">
            <v>30459428</v>
          </cell>
          <cell r="E27" t="str">
            <v>MEJORAMIENTO Y AMPL. ESC. DIFERENCIAL NICOLAS MLADINIC , NATALES</v>
          </cell>
          <cell r="G27" t="str">
            <v>Diseño</v>
          </cell>
          <cell r="K27" t="str">
            <v>NATALES</v>
          </cell>
          <cell r="AK27">
            <v>5489</v>
          </cell>
          <cell r="AW27">
            <v>79124</v>
          </cell>
          <cell r="BJ27">
            <v>0</v>
          </cell>
        </row>
        <row r="28">
          <cell r="D28">
            <v>30464641</v>
          </cell>
          <cell r="E28" t="str">
            <v>MEJORAMIENTO R. Y-71, PORVENIR-ONAISSIN, TRAMO I, PROV. T. DEL FUEGO</v>
          </cell>
          <cell r="G28" t="str">
            <v>Ejecución</v>
          </cell>
          <cell r="K28" t="str">
            <v>INTERCOMUNAL</v>
          </cell>
          <cell r="AK28">
            <v>6290614</v>
          </cell>
          <cell r="AW28">
            <v>84329605</v>
          </cell>
          <cell r="BJ28">
            <v>6561409</v>
          </cell>
        </row>
        <row r="29">
          <cell r="D29">
            <v>30464891</v>
          </cell>
          <cell r="E29" t="str">
            <v>CONSTRUCCION CALLE EL OVEJERO, PTA. ARENAS.  (DISEÑO)</v>
          </cell>
          <cell r="G29" t="str">
            <v>Diseño</v>
          </cell>
          <cell r="K29" t="str">
            <v>PUNTA ARENAS</v>
          </cell>
          <cell r="AK29">
            <v>21346</v>
          </cell>
          <cell r="AW29">
            <v>24493</v>
          </cell>
          <cell r="BJ29">
            <v>0</v>
          </cell>
        </row>
        <row r="30">
          <cell r="D30">
            <v>30468185</v>
          </cell>
          <cell r="E30" t="str">
            <v>MEJORAMIENTO CALLE DUBLE ALMEYDA, COMUNA PORVENIR. XII REGIÓN</v>
          </cell>
          <cell r="G30" t="str">
            <v>Ejecución</v>
          </cell>
          <cell r="K30" t="str">
            <v>PORVENIR</v>
          </cell>
          <cell r="AK30">
            <v>959397</v>
          </cell>
          <cell r="AW30">
            <v>1287585</v>
          </cell>
          <cell r="BJ30">
            <v>0</v>
          </cell>
        </row>
        <row r="31">
          <cell r="D31">
            <v>30469790</v>
          </cell>
          <cell r="E31" t="str">
            <v>CONSTRUCCIÓN COLECTOR AGUAS LLUVIAS CALLE PILOTO PARDO, NATALES</v>
          </cell>
          <cell r="G31" t="str">
            <v>Ejecución</v>
          </cell>
          <cell r="K31" t="str">
            <v>NATALES</v>
          </cell>
          <cell r="AK31">
            <v>371359</v>
          </cell>
          <cell r="AW31">
            <v>475688</v>
          </cell>
          <cell r="BJ31">
            <v>8313</v>
          </cell>
        </row>
        <row r="32">
          <cell r="D32">
            <v>30470391</v>
          </cell>
          <cell r="E32" t="str">
            <v>CONSTRUCCION CALLE JOSÉ GONZÁLEZ PUNTA ARENAS</v>
          </cell>
          <cell r="G32" t="str">
            <v>Diseño</v>
          </cell>
          <cell r="K32" t="str">
            <v>PUNTA ARENAS</v>
          </cell>
          <cell r="AK32">
            <v>27462</v>
          </cell>
          <cell r="AW32">
            <v>30385</v>
          </cell>
          <cell r="BJ32">
            <v>0</v>
          </cell>
        </row>
        <row r="33">
          <cell r="D33">
            <v>30471786</v>
          </cell>
          <cell r="E33" t="str">
            <v>CONSTRUCCION CALLE MIRAFLORES, PUNTA ARENAS.  (DISEÑO)</v>
          </cell>
          <cell r="G33" t="str">
            <v>Diseño</v>
          </cell>
          <cell r="K33" t="str">
            <v>PUNTA ARENAS</v>
          </cell>
          <cell r="AK33">
            <v>23993</v>
          </cell>
          <cell r="AW33">
            <v>27143</v>
          </cell>
          <cell r="BJ33">
            <v>2</v>
          </cell>
        </row>
        <row r="34">
          <cell r="D34">
            <v>30471945</v>
          </cell>
          <cell r="E34" t="str">
            <v>CONSTRUCCION SALA CUNA Y JARDÍN INFANTIL PUERTO WILLIAMS</v>
          </cell>
          <cell r="G34" t="str">
            <v>Ejecución</v>
          </cell>
          <cell r="K34" t="str">
            <v>CABO DE HORNOS</v>
          </cell>
          <cell r="AK34">
            <v>1524024</v>
          </cell>
          <cell r="AW34">
            <v>1635176</v>
          </cell>
          <cell r="BJ34">
            <v>42470</v>
          </cell>
        </row>
        <row r="35">
          <cell r="D35">
            <v>30472385</v>
          </cell>
          <cell r="E35" t="str">
            <v>MEJORAMIENTO 12 ZONAS DE JUEGOS INFANTILES Y UNA PISTA DE PATINAJE, COMUNA NATALES</v>
          </cell>
          <cell r="G35" t="str">
            <v>Ejecución</v>
          </cell>
          <cell r="K35" t="str">
            <v>NATALES</v>
          </cell>
          <cell r="AK35">
            <v>1336248</v>
          </cell>
          <cell r="AW35">
            <v>1511802</v>
          </cell>
          <cell r="BJ35">
            <v>0</v>
          </cell>
        </row>
        <row r="36">
          <cell r="D36">
            <v>30472887</v>
          </cell>
          <cell r="E36" t="str">
            <v>CONSTRUCCION AVDA. DALCAHUE, PUNTA ARENAS, XII REGION</v>
          </cell>
          <cell r="G36" t="str">
            <v>Ejecución</v>
          </cell>
          <cell r="K36" t="str">
            <v>PUNTA ARENAS</v>
          </cell>
          <cell r="AK36">
            <v>704650</v>
          </cell>
          <cell r="AW36">
            <v>2398253</v>
          </cell>
          <cell r="BJ36">
            <v>2</v>
          </cell>
        </row>
        <row r="37">
          <cell r="D37">
            <v>30473785</v>
          </cell>
          <cell r="E37" t="str">
            <v>CONSTRUCCION PLAZA TEMATICA DE TRANSITO, NATALES</v>
          </cell>
          <cell r="G37" t="str">
            <v>Ejecución</v>
          </cell>
          <cell r="K37" t="str">
            <v>NATALES</v>
          </cell>
          <cell r="AK37">
            <v>228204</v>
          </cell>
          <cell r="AW37">
            <v>340695</v>
          </cell>
          <cell r="BJ37">
            <v>0</v>
          </cell>
        </row>
        <row r="38">
          <cell r="D38">
            <v>30476983</v>
          </cell>
          <cell r="E38" t="str">
            <v>CONSTRUCCION SISTEMA DE AUTOGENERACIÓN EÓLICO DIÉSEL, RÍO VERDE</v>
          </cell>
          <cell r="G38" t="str">
            <v>Ejecución</v>
          </cell>
          <cell r="K38" t="str">
            <v>RÍO VERDE</v>
          </cell>
          <cell r="AK38">
            <v>125418</v>
          </cell>
          <cell r="AW38">
            <v>793558</v>
          </cell>
          <cell r="BJ38">
            <v>1</v>
          </cell>
        </row>
        <row r="39">
          <cell r="D39">
            <v>30478990</v>
          </cell>
          <cell r="E39" t="str">
            <v>AMPLIACION Y REPOSICION PARCIAL ESCUELA J. LADRILLERO, NATALES</v>
          </cell>
          <cell r="G39" t="str">
            <v>Diseño</v>
          </cell>
          <cell r="K39" t="str">
            <v>NATALES</v>
          </cell>
          <cell r="AK39">
            <v>25699</v>
          </cell>
          <cell r="AW39">
            <v>156247</v>
          </cell>
          <cell r="BJ39">
            <v>0</v>
          </cell>
        </row>
        <row r="40">
          <cell r="D40">
            <v>30480796</v>
          </cell>
          <cell r="E40" t="str">
            <v>MEJORAMIENTO VARIAS VIAS SECTOR RÍO DE LA MANO, PUNTA ARENAS.  (DISEÑO)</v>
          </cell>
          <cell r="G40" t="str">
            <v>Diseño</v>
          </cell>
          <cell r="K40" t="str">
            <v>PUNTA ARENAS</v>
          </cell>
          <cell r="AK40">
            <v>11712</v>
          </cell>
          <cell r="AW40">
            <v>37951</v>
          </cell>
          <cell r="BJ40">
            <v>0</v>
          </cell>
        </row>
        <row r="41">
          <cell r="D41">
            <v>30481819</v>
          </cell>
          <cell r="E41" t="str">
            <v>REPOSICION CESFAM THOMAS FENTON, PUNTA ARENAS</v>
          </cell>
          <cell r="G41" t="str">
            <v>Ejecución</v>
          </cell>
          <cell r="K41" t="str">
            <v>PUNTA ARENAS</v>
          </cell>
          <cell r="AK41">
            <v>213752</v>
          </cell>
          <cell r="AW41">
            <v>4702257</v>
          </cell>
          <cell r="BJ41">
            <v>1690653</v>
          </cell>
        </row>
        <row r="42">
          <cell r="D42">
            <v>30482300</v>
          </cell>
          <cell r="E42" t="str">
            <v>CONSTRUCCION LOTEOS HABITACIONALES SECTOR ORIENTE NATALES, ETAPAS 2 Y 3.</v>
          </cell>
          <cell r="G42" t="str">
            <v>Ejecución</v>
          </cell>
          <cell r="K42" t="str">
            <v>NATALES</v>
          </cell>
          <cell r="AK42">
            <v>0</v>
          </cell>
          <cell r="AW42">
            <v>3436260</v>
          </cell>
          <cell r="BJ42">
            <v>3</v>
          </cell>
        </row>
        <row r="43">
          <cell r="D43">
            <v>30483336</v>
          </cell>
          <cell r="E43" t="str">
            <v>CONSTRUCCION Y AMPLIACIÓN INSTALACIONES CORRAL MUNICIPAL, PUNTA ARENAS</v>
          </cell>
          <cell r="G43" t="str">
            <v>Ejecución</v>
          </cell>
          <cell r="K43" t="str">
            <v>PUNTA ARENAS</v>
          </cell>
          <cell r="AK43">
            <v>0</v>
          </cell>
          <cell r="AW43">
            <v>433685</v>
          </cell>
          <cell r="BJ43">
            <v>0</v>
          </cell>
        </row>
        <row r="44">
          <cell r="D44">
            <v>30483766</v>
          </cell>
          <cell r="E44" t="str">
            <v>CONSTRUCCION MODIFICACIÓN DE CAUCE NATURAL CHORRILLO SIN NOMBRE, PUNTA ARENAS</v>
          </cell>
          <cell r="G44" t="str">
            <v>Ejecución</v>
          </cell>
          <cell r="K44" t="str">
            <v>PUNTA ARENAS</v>
          </cell>
          <cell r="AK44">
            <v>306960</v>
          </cell>
          <cell r="AW44">
            <v>1026255</v>
          </cell>
          <cell r="BJ44">
            <v>0</v>
          </cell>
        </row>
        <row r="45">
          <cell r="D45">
            <v>30484501</v>
          </cell>
          <cell r="E45" t="str">
            <v>MEJORAMIENTO DIVERSAS VÍAS SECTOR DOMINGO ESPIÑEIRA, PUNTA ARENAS</v>
          </cell>
          <cell r="G45" t="str">
            <v>Diseño</v>
          </cell>
          <cell r="K45" t="str">
            <v>PUNTA ARENAS</v>
          </cell>
          <cell r="AK45">
            <v>5731</v>
          </cell>
          <cell r="AW45">
            <v>17164</v>
          </cell>
          <cell r="BJ45">
            <v>0</v>
          </cell>
        </row>
        <row r="46">
          <cell r="D46">
            <v>30484512</v>
          </cell>
          <cell r="E46" t="str">
            <v>CONSTRUCCION LOMAS DE BAQUEDANO 3ª ETAPA, PORVENIR</v>
          </cell>
          <cell r="G46" t="str">
            <v>Ejecución</v>
          </cell>
          <cell r="K46" t="str">
            <v>PORVENIR</v>
          </cell>
          <cell r="AK46">
            <v>0</v>
          </cell>
          <cell r="AW46">
            <v>1754993</v>
          </cell>
          <cell r="BJ46">
            <v>711873</v>
          </cell>
        </row>
        <row r="47">
          <cell r="D47">
            <v>30484519</v>
          </cell>
          <cell r="E47" t="str">
            <v>MEJORAMIENTO CALLE MANUEL MENÉNDEZ, PUNTA ARENAS</v>
          </cell>
          <cell r="G47" t="str">
            <v>Diseño</v>
          </cell>
          <cell r="K47" t="str">
            <v>PUNTA ARENAS</v>
          </cell>
          <cell r="AK47">
            <v>21848</v>
          </cell>
          <cell r="AW47">
            <v>28485</v>
          </cell>
          <cell r="BJ47">
            <v>0</v>
          </cell>
        </row>
        <row r="48">
          <cell r="D48">
            <v>30484520</v>
          </cell>
          <cell r="E48" t="str">
            <v>MEJORAMIENTO CALLE JOSÉ ASENCIO VERA, PUNTA ARENAS</v>
          </cell>
          <cell r="G48" t="str">
            <v>Diseño</v>
          </cell>
          <cell r="K48" t="str">
            <v>PUNTA ARENAS</v>
          </cell>
          <cell r="AK48">
            <v>18566</v>
          </cell>
          <cell r="AW48">
            <v>24127</v>
          </cell>
          <cell r="BJ48">
            <v>0</v>
          </cell>
        </row>
        <row r="49">
          <cell r="D49">
            <v>30484525</v>
          </cell>
          <cell r="E49" t="str">
            <v>MEJORAMIENTO CALLE JOSE DIAZ BARRIA, PUNTA ARENAS</v>
          </cell>
          <cell r="G49" t="str">
            <v>Diseño</v>
          </cell>
          <cell r="K49" t="str">
            <v>PUNTA ARENAS</v>
          </cell>
          <cell r="AK49">
            <v>18567</v>
          </cell>
          <cell r="AW49">
            <v>24158</v>
          </cell>
          <cell r="BJ49">
            <v>0</v>
          </cell>
        </row>
        <row r="50">
          <cell r="D50">
            <v>30484992</v>
          </cell>
          <cell r="E50" t="str">
            <v>CONSTRUCCIÓN RED DE GAS NATURAL, LOTEO VARILLAS, PUNTA ARENAS</v>
          </cell>
          <cell r="G50" t="str">
            <v>Ejecución</v>
          </cell>
          <cell r="K50" t="str">
            <v>PUNTA ARENAS</v>
          </cell>
          <cell r="AK50">
            <v>695793</v>
          </cell>
          <cell r="AW50">
            <v>803851</v>
          </cell>
          <cell r="BJ50">
            <v>0</v>
          </cell>
        </row>
        <row r="51">
          <cell r="D51">
            <v>30485766</v>
          </cell>
          <cell r="E51" t="str">
            <v>MEJORAMIENTO DIVERSAS VÍAS SECTOR RÍO DE LA MANO ETAPA II, PUNTA ARENAS</v>
          </cell>
          <cell r="G51" t="str">
            <v>Diseño</v>
          </cell>
          <cell r="K51" t="str">
            <v>PUNTA ARENAS</v>
          </cell>
          <cell r="AK51">
            <v>22252</v>
          </cell>
          <cell r="AW51">
            <v>28976</v>
          </cell>
          <cell r="BJ51">
            <v>0</v>
          </cell>
        </row>
        <row r="52">
          <cell r="D52">
            <v>30486838</v>
          </cell>
          <cell r="E52" t="str">
            <v>MEJORAMIENTO DIVERSAS VÍAS UNIDAD VECINAL MAURICIO BRAUN, PUNTA ARENAS</v>
          </cell>
          <cell r="G52" t="str">
            <v>Diseño</v>
          </cell>
          <cell r="K52" t="str">
            <v>PUNTA ARENAS</v>
          </cell>
          <cell r="AK52">
            <v>4232</v>
          </cell>
          <cell r="AW52">
            <v>12014</v>
          </cell>
          <cell r="BJ52">
            <v>0</v>
          </cell>
        </row>
        <row r="53">
          <cell r="D53">
            <v>30487243</v>
          </cell>
          <cell r="E53" t="str">
            <v>CONSTRUCCION SALA CUNA Y JARDÍN INFANTIL CERRO CASTILLO</v>
          </cell>
          <cell r="G53" t="str">
            <v>Ejecución</v>
          </cell>
          <cell r="K53" t="str">
            <v>TORRES DEL PAINE</v>
          </cell>
          <cell r="AK53">
            <v>306443</v>
          </cell>
          <cell r="AW53">
            <v>897661</v>
          </cell>
          <cell r="BJ53">
            <v>0</v>
          </cell>
        </row>
        <row r="54">
          <cell r="D54">
            <v>40000590</v>
          </cell>
          <cell r="E54" t="str">
            <v>CONSTRUCCION SALUD MENTAL Y GERIATRÍA, COMUNA PUNTA ARENAS</v>
          </cell>
          <cell r="G54" t="str">
            <v>Ejecución</v>
          </cell>
          <cell r="K54" t="str">
            <v>PUNTA ARENAS</v>
          </cell>
          <cell r="AK54">
            <v>0</v>
          </cell>
          <cell r="AW54">
            <v>26068089</v>
          </cell>
          <cell r="BJ54">
            <v>4730590</v>
          </cell>
        </row>
        <row r="55">
          <cell r="D55">
            <v>40001037</v>
          </cell>
          <cell r="E55" t="str">
            <v>REPOSICION RED ALCANTARILLADO Y CONSTRUCCIÓN P.T.A.S., VILLA PUNTA DELGADA</v>
          </cell>
          <cell r="G55" t="str">
            <v>Ejecución</v>
          </cell>
          <cell r="K55" t="str">
            <v>SAN GREGORIO</v>
          </cell>
          <cell r="AK55">
            <v>525</v>
          </cell>
          <cell r="AW55">
            <v>1893019</v>
          </cell>
          <cell r="BJ55">
            <v>318715</v>
          </cell>
        </row>
        <row r="56">
          <cell r="D56">
            <v>40001293</v>
          </cell>
          <cell r="E56" t="str">
            <v>CONSTRUCCION SISTEMA DE AGUA POTABLE RURAL LOTEO VRSALOVIC Y OJO BUENO, PUNTA ARENAS</v>
          </cell>
          <cell r="G56" t="str">
            <v>Ejecución</v>
          </cell>
          <cell r="K56" t="str">
            <v>PUNTA ARENAS</v>
          </cell>
          <cell r="AK56">
            <v>3708483</v>
          </cell>
          <cell r="AW56">
            <v>7630696</v>
          </cell>
          <cell r="BJ56">
            <v>0</v>
          </cell>
        </row>
        <row r="57">
          <cell r="D57">
            <v>40001567</v>
          </cell>
          <cell r="E57" t="str">
            <v>HABILITACION residencial para jóvenes, PUNTA ARENAS</v>
          </cell>
          <cell r="G57" t="str">
            <v>Ejecución</v>
          </cell>
          <cell r="K57" t="str">
            <v>PUNTA ARENAS</v>
          </cell>
          <cell r="AK57">
            <v>572124</v>
          </cell>
          <cell r="AW57">
            <v>642492</v>
          </cell>
          <cell r="BJ57">
            <v>1</v>
          </cell>
        </row>
        <row r="58">
          <cell r="D58">
            <v>40019277</v>
          </cell>
          <cell r="E58" t="str">
            <v>REPOSICION SISTEMA DE ABASTECIMIENTO AGUA POTABLE RURAL VILLA CAMERON, TIMAUKEL</v>
          </cell>
          <cell r="G58" t="str">
            <v>Ejecución</v>
          </cell>
          <cell r="K58" t="str">
            <v>TIMAUKEL</v>
          </cell>
          <cell r="AK58">
            <v>0</v>
          </cell>
          <cell r="AW58">
            <v>862646</v>
          </cell>
          <cell r="BJ58">
            <v>0</v>
          </cell>
        </row>
        <row r="59">
          <cell r="D59">
            <v>40003654</v>
          </cell>
          <cell r="E59" t="str">
            <v>REPOSICION DIVERSAS VEREDAS BARRIO SAN MIGUEL Y BARRIO SUR, PUNTA ARENAS</v>
          </cell>
          <cell r="G59" t="str">
            <v>Ejecución</v>
          </cell>
          <cell r="K59" t="str">
            <v>PUNTA ARENAS</v>
          </cell>
          <cell r="AK59">
            <v>81874</v>
          </cell>
          <cell r="AW59">
            <v>1660998</v>
          </cell>
          <cell r="BJ59">
            <v>0</v>
          </cell>
        </row>
        <row r="60">
          <cell r="D60">
            <v>40005912</v>
          </cell>
          <cell r="E60" t="str">
            <v>CONSTRUCCION RED DE SEMAFOROS Y SINCRONISMOS CIUDAD DE PUNTA ARENAS</v>
          </cell>
          <cell r="G60" t="str">
            <v>Ejecución</v>
          </cell>
          <cell r="K60" t="str">
            <v>PUNTA ARENAS</v>
          </cell>
          <cell r="AK60">
            <v>0</v>
          </cell>
          <cell r="AW60">
            <v>2605269</v>
          </cell>
          <cell r="BJ60">
            <v>2253725</v>
          </cell>
        </row>
        <row r="61">
          <cell r="D61">
            <v>40006570</v>
          </cell>
          <cell r="E61" t="str">
            <v>MEJORAMIENTO DIVERSAS CALLES SECTOR CENTRO-SUR, PUNTA ARENAS</v>
          </cell>
          <cell r="G61" t="str">
            <v>Ejecución</v>
          </cell>
          <cell r="K61" t="str">
            <v>PUNTA ARENAS</v>
          </cell>
          <cell r="AK61">
            <v>843</v>
          </cell>
          <cell r="AW61">
            <v>359975</v>
          </cell>
          <cell r="BJ61">
            <v>0</v>
          </cell>
        </row>
        <row r="62">
          <cell r="D62">
            <v>40008161</v>
          </cell>
          <cell r="E62" t="str">
            <v>CONSTRUCCION URBANIZACION LOTEOS FSEV 2017 SECTOR SUR PUNTA ARENAS</v>
          </cell>
          <cell r="G62" t="str">
            <v>Ejecución</v>
          </cell>
          <cell r="K62" t="str">
            <v>PUNTA ARENAS</v>
          </cell>
          <cell r="AK62">
            <v>1049</v>
          </cell>
          <cell r="AW62">
            <v>4687510</v>
          </cell>
          <cell r="BJ62">
            <v>1390153</v>
          </cell>
        </row>
        <row r="63">
          <cell r="D63">
            <v>40009998</v>
          </cell>
          <cell r="E63" t="str">
            <v>REPOSICION VEREDAS UNIDAD VECINAL Nº 28 CERRO DE LA CRUZ PUNTA ARENAS</v>
          </cell>
          <cell r="G63" t="str">
            <v>Diseño</v>
          </cell>
          <cell r="K63" t="str">
            <v>PUNTA ARENAS</v>
          </cell>
          <cell r="AK63">
            <v>0</v>
          </cell>
          <cell r="AW63">
            <v>86087</v>
          </cell>
          <cell r="BJ63">
            <v>0</v>
          </cell>
        </row>
        <row r="64">
          <cell r="D64">
            <v>40020480</v>
          </cell>
          <cell r="E64" t="str">
            <v>MEJORAMIENTO CALLE ENRIQUE ABELLO, COMUNA PUNTA ARENAS.</v>
          </cell>
          <cell r="G64" t="str">
            <v>Ejecución</v>
          </cell>
          <cell r="K64" t="str">
            <v>PUNTA ARENAS</v>
          </cell>
          <cell r="AK64">
            <v>0</v>
          </cell>
          <cell r="AW64">
            <v>2901472</v>
          </cell>
          <cell r="BJ64">
            <v>2541566</v>
          </cell>
        </row>
        <row r="65">
          <cell r="D65">
            <v>30485034</v>
          </cell>
          <cell r="E65" t="str">
            <v>AMPLIACION Y MEJORAMIENTO GIMNASIO NATALES</v>
          </cell>
          <cell r="G65" t="str">
            <v>Ejecución</v>
          </cell>
          <cell r="K65" t="str">
            <v>NATALES</v>
          </cell>
          <cell r="AK65">
            <v>1561591</v>
          </cell>
          <cell r="AW65">
            <v>1988938</v>
          </cell>
          <cell r="BJ65">
            <v>1</v>
          </cell>
        </row>
        <row r="66">
          <cell r="D66">
            <v>40010261</v>
          </cell>
          <cell r="E66" t="str">
            <v>ACTUALIZACION PLAN DE DESARROLLO COMUNAL DE TORRES DEL PAINE</v>
          </cell>
          <cell r="G66" t="str">
            <v>Ejecución</v>
          </cell>
          <cell r="K66" t="str">
            <v>TORRES DEL PAINE</v>
          </cell>
          <cell r="AK66">
            <v>0</v>
          </cell>
          <cell r="AW66">
            <v>54409</v>
          </cell>
          <cell r="BJ66">
            <v>14415</v>
          </cell>
        </row>
        <row r="67">
          <cell r="D67">
            <v>30483861</v>
          </cell>
          <cell r="E67" t="str">
            <v>ACTUALIZACION PLAN SECCIONAL SERRANO Y CASTILLO, COMUNA TORRES DEL PAYNE</v>
          </cell>
          <cell r="G67" t="str">
            <v>Ejecución</v>
          </cell>
          <cell r="K67" t="str">
            <v>TORRES DEL PAINE</v>
          </cell>
          <cell r="AK67">
            <v>0</v>
          </cell>
          <cell r="AW67">
            <v>118340</v>
          </cell>
          <cell r="BJ67">
            <v>18103</v>
          </cell>
        </row>
        <row r="68">
          <cell r="D68">
            <v>40012128</v>
          </cell>
          <cell r="E68" t="str">
            <v>MEJORAMIENTO PLAZOLETAS SECTOR SUR 2 PONIENTE, PUNTA ARENAS</v>
          </cell>
          <cell r="G68" t="str">
            <v>Ejecución</v>
          </cell>
          <cell r="K68" t="str">
            <v>PUNTA ARENAS</v>
          </cell>
          <cell r="AK68">
            <v>0</v>
          </cell>
          <cell r="AW68">
            <v>2548731</v>
          </cell>
          <cell r="BJ68">
            <v>1385090</v>
          </cell>
        </row>
        <row r="69">
          <cell r="D69">
            <v>30081014</v>
          </cell>
          <cell r="E69" t="str">
            <v>CONSTRUCCION SALON DE USOS MULTIPLES J.V.N°18, PTA. ARENAS</v>
          </cell>
          <cell r="G69" t="str">
            <v>Ejecución</v>
          </cell>
          <cell r="K69" t="str">
            <v>PUNTA ARENAS</v>
          </cell>
          <cell r="AK69">
            <v>0</v>
          </cell>
          <cell r="AW69">
            <v>737218</v>
          </cell>
          <cell r="BJ69">
            <v>731954</v>
          </cell>
        </row>
        <row r="70">
          <cell r="D70">
            <v>40000684</v>
          </cell>
          <cell r="E70" t="str">
            <v>MEJORAMIENTO AVENIDA ESPAÑA, PUERTO NATALES</v>
          </cell>
          <cell r="G70" t="str">
            <v>Ejecución</v>
          </cell>
          <cell r="K70" t="str">
            <v>NATALES</v>
          </cell>
          <cell r="AK70">
            <v>0</v>
          </cell>
          <cell r="AW70">
            <v>1151250</v>
          </cell>
          <cell r="BJ70">
            <v>805671</v>
          </cell>
        </row>
        <row r="71">
          <cell r="D71">
            <v>30086663</v>
          </cell>
          <cell r="E71" t="str">
            <v>NORMALIZACION Y MEJOR. INTEGRAL JARDINES INFANTILES INTEGRA REG. MAG</v>
          </cell>
          <cell r="G71" t="str">
            <v>Ejecución</v>
          </cell>
          <cell r="K71" t="str">
            <v>INTERCOMUNAL</v>
          </cell>
          <cell r="AK71">
            <v>2967798</v>
          </cell>
          <cell r="AW71">
            <v>7211239</v>
          </cell>
          <cell r="BJ71">
            <v>0</v>
          </cell>
        </row>
        <row r="72">
          <cell r="D72">
            <v>30125908</v>
          </cell>
          <cell r="E72" t="str">
            <v>RESTAURACION Y NORMALIZACIÓN PRIMERA COMPAÑÍA DE BOMBEROS, PUNTA ARENAS</v>
          </cell>
          <cell r="G72" t="str">
            <v>Ejecución</v>
          </cell>
          <cell r="K72" t="str">
            <v>PUNTA ARENAS</v>
          </cell>
          <cell r="AK72">
            <v>0</v>
          </cell>
          <cell r="AW72">
            <v>3793948</v>
          </cell>
          <cell r="BJ72">
            <v>3590189</v>
          </cell>
        </row>
        <row r="73">
          <cell r="D73">
            <v>30128661</v>
          </cell>
          <cell r="E73" t="str">
            <v>NORMALIZACION CESFAM 18 DE SEPTIEMBRE PUNTA ARENAS</v>
          </cell>
          <cell r="G73" t="str">
            <v>Ejecución</v>
          </cell>
          <cell r="K73" t="str">
            <v>PUNTA ARENAS</v>
          </cell>
          <cell r="AK73">
            <v>0</v>
          </cell>
          <cell r="AW73">
            <v>7852437</v>
          </cell>
          <cell r="BJ73">
            <v>6772727</v>
          </cell>
        </row>
        <row r="74">
          <cell r="D74">
            <v>30130781</v>
          </cell>
          <cell r="E74" t="str">
            <v>CONSTRUCCIÓN RELLENO SANITARIO, NATALES</v>
          </cell>
          <cell r="G74" t="str">
            <v>Ejecución</v>
          </cell>
          <cell r="K74" t="str">
            <v>NATALES</v>
          </cell>
          <cell r="AK74">
            <v>5727900</v>
          </cell>
          <cell r="AW74">
            <v>6252523</v>
          </cell>
          <cell r="BJ74">
            <v>0</v>
          </cell>
        </row>
        <row r="75">
          <cell r="D75">
            <v>30286673</v>
          </cell>
          <cell r="E75" t="str">
            <v>CONSTRUCCION CENTRO ASISTENCIAL DOCENTE E INVESTIGACIÓN UMAG, XII REGIÓN</v>
          </cell>
          <cell r="G75" t="str">
            <v>Ejecución</v>
          </cell>
          <cell r="K75" t="str">
            <v>PUNTA ARENAS</v>
          </cell>
          <cell r="AK75">
            <v>13612353</v>
          </cell>
          <cell r="AW75">
            <v>14262353</v>
          </cell>
          <cell r="BJ75">
            <v>250000</v>
          </cell>
        </row>
        <row r="76">
          <cell r="D76">
            <v>30305772</v>
          </cell>
          <cell r="E76" t="str">
            <v>CONSTRUCCION INFRAESTRUCTURA PORTUARIA EN PUERTO TORO,CABO DE HORNOS</v>
          </cell>
          <cell r="G76" t="str">
            <v>Ejecución</v>
          </cell>
          <cell r="K76" t="str">
            <v>CABO DE HORNOS</v>
          </cell>
          <cell r="AK76">
            <v>0</v>
          </cell>
          <cell r="AW76">
            <v>441816</v>
          </cell>
          <cell r="BJ76">
            <v>371264</v>
          </cell>
        </row>
        <row r="77">
          <cell r="D77">
            <v>30354829</v>
          </cell>
          <cell r="E77" t="str">
            <v>CONSTRUCCION JUZGADOS DE POLICIA LOCAL, PUNTA ARENAS</v>
          </cell>
          <cell r="G77" t="str">
            <v>Ejecución</v>
          </cell>
          <cell r="K77" t="str">
            <v>PUNTA ARENAS</v>
          </cell>
          <cell r="AK77">
            <v>1535</v>
          </cell>
          <cell r="AW77">
            <v>3183862</v>
          </cell>
          <cell r="BJ77">
            <v>785534</v>
          </cell>
        </row>
        <row r="78">
          <cell r="D78">
            <v>30427372</v>
          </cell>
          <cell r="E78" t="str">
            <v>MEJORAMIENTO Y REPOSICION VEREDAS BARRIO CROATA, PUNTA ARENAS</v>
          </cell>
          <cell r="G78" t="str">
            <v>Ejecución</v>
          </cell>
          <cell r="K78" t="str">
            <v>PUNTA ARENAS</v>
          </cell>
          <cell r="AK78">
            <v>417682</v>
          </cell>
          <cell r="AW78">
            <v>5307349</v>
          </cell>
          <cell r="BJ78">
            <v>0</v>
          </cell>
        </row>
        <row r="79">
          <cell r="D79">
            <v>30429822</v>
          </cell>
          <cell r="E79" t="str">
            <v>RESTAURACION Y HABILITACIÓN MUSEO M. A. EN PALACIO J. M., P. ARENAS.  (DISEÑO)</v>
          </cell>
          <cell r="G79" t="str">
            <v>Diseño</v>
          </cell>
          <cell r="K79" t="str">
            <v>PUNTA ARENAS</v>
          </cell>
          <cell r="AK79">
            <v>218437</v>
          </cell>
          <cell r="AW79">
            <v>244362</v>
          </cell>
          <cell r="BJ79">
            <v>0</v>
          </cell>
        </row>
        <row r="80">
          <cell r="D80">
            <v>30447372</v>
          </cell>
          <cell r="E80" t="str">
            <v>CONSTRUCCION PASEO URBANO CALLE CAPITÁN GUILLERMO, PUNTA ARENAS</v>
          </cell>
          <cell r="G80" t="str">
            <v>Ejecución</v>
          </cell>
          <cell r="K80" t="str">
            <v>PUNTA ARENAS</v>
          </cell>
          <cell r="AK80">
            <v>994979</v>
          </cell>
          <cell r="AW80">
            <v>1254892</v>
          </cell>
          <cell r="BJ80">
            <v>0</v>
          </cell>
        </row>
        <row r="81">
          <cell r="D81">
            <v>30472595</v>
          </cell>
          <cell r="E81" t="str">
            <v>MEJORAMIENTO CALLE EUSEBIO PIZARRO, COMUNA PUNTA ARENAS, XII REGIÓN</v>
          </cell>
          <cell r="G81" t="str">
            <v>Ejecución</v>
          </cell>
          <cell r="K81" t="str">
            <v>PUNTA ARENAS</v>
          </cell>
          <cell r="AK81">
            <v>980468</v>
          </cell>
          <cell r="AW81">
            <v>1038094</v>
          </cell>
          <cell r="BJ81">
            <v>2465</v>
          </cell>
        </row>
        <row r="82">
          <cell r="D82">
            <v>30473835</v>
          </cell>
          <cell r="E82" t="str">
            <v>CONSTRUCCIÓN SEDE ASOC. DEP. REGIONAL MAXIBÁSQUETBOL DE MAGALLANES</v>
          </cell>
          <cell r="G82" t="str">
            <v>Ejecución</v>
          </cell>
          <cell r="K82" t="str">
            <v>PUNTA ARENAS</v>
          </cell>
          <cell r="AK82">
            <v>0</v>
          </cell>
          <cell r="AW82">
            <v>219218</v>
          </cell>
          <cell r="BJ82">
            <v>0</v>
          </cell>
        </row>
        <row r="83">
          <cell r="D83">
            <v>30474241</v>
          </cell>
          <cell r="E83" t="str">
            <v>REPOSICION GIMNASIO Y MEJOR. ANEXOS COMPLEJO DEP. 18 SEP. P. ARENAS</v>
          </cell>
          <cell r="G83" t="str">
            <v>Ejecución</v>
          </cell>
          <cell r="K83" t="str">
            <v>PUNTA ARENAS</v>
          </cell>
          <cell r="AK83">
            <v>6136</v>
          </cell>
          <cell r="AW83">
            <v>11961571</v>
          </cell>
          <cell r="BJ83">
            <v>5661440</v>
          </cell>
        </row>
        <row r="84">
          <cell r="D84">
            <v>30476635</v>
          </cell>
          <cell r="E84" t="str">
            <v>MEJORAMIENTO INTEGRAL CENTRO COSTUMBRISTA LAGUNA BLANCA</v>
          </cell>
          <cell r="G84" t="str">
            <v>Diseño</v>
          </cell>
          <cell r="K84" t="str">
            <v>LAGUNA BLANCA</v>
          </cell>
          <cell r="AK84">
            <v>44639</v>
          </cell>
          <cell r="AW84">
            <v>71154</v>
          </cell>
          <cell r="BJ84">
            <v>1619</v>
          </cell>
        </row>
        <row r="85">
          <cell r="D85">
            <v>30481458</v>
          </cell>
          <cell r="E85" t="str">
            <v>CONSERVACIÓN ACERAS CALLE CARLOS CONDELL Y OTRAS, NATALES</v>
          </cell>
          <cell r="G85" t="str">
            <v>Ejecución</v>
          </cell>
          <cell r="K85" t="str">
            <v>NATALES</v>
          </cell>
          <cell r="AK85">
            <v>430609</v>
          </cell>
          <cell r="AW85">
            <v>442386</v>
          </cell>
          <cell r="BJ85">
            <v>0</v>
          </cell>
        </row>
        <row r="86">
          <cell r="D86">
            <v>30481767</v>
          </cell>
          <cell r="E86" t="str">
            <v>MEJORAMIENTO PLAZOLETA CACIQUE PAPON, PUNTA ARENAS</v>
          </cell>
          <cell r="G86" t="str">
            <v>Ejecución</v>
          </cell>
          <cell r="K86" t="str">
            <v>PUNTA ARENAS</v>
          </cell>
          <cell r="AK86">
            <v>113000</v>
          </cell>
          <cell r="AW86">
            <v>169374</v>
          </cell>
          <cell r="BJ86">
            <v>0</v>
          </cell>
        </row>
        <row r="87">
          <cell r="D87">
            <v>30483953</v>
          </cell>
          <cell r="E87" t="str">
            <v>CONSERVACION VÍAS URBANAS XII REGIÓN AÑO 2017-2020</v>
          </cell>
          <cell r="G87" t="str">
            <v>Ejecución</v>
          </cell>
          <cell r="K87" t="str">
            <v>INTERCOMUNAL</v>
          </cell>
          <cell r="AK87">
            <v>3572424</v>
          </cell>
          <cell r="AW87">
            <v>4123092</v>
          </cell>
          <cell r="BJ87">
            <v>10000</v>
          </cell>
        </row>
        <row r="88">
          <cell r="D88">
            <v>30484048</v>
          </cell>
          <cell r="E88" t="str">
            <v>MEJORAMIENTO PLAZOLETA AV. BULNES U.V. N°27, PUNTA ARENAS</v>
          </cell>
          <cell r="G88" t="str">
            <v>Ejecución</v>
          </cell>
          <cell r="K88" t="str">
            <v>PUNTA ARENAS</v>
          </cell>
          <cell r="AK88">
            <v>601179</v>
          </cell>
          <cell r="AW88">
            <v>647673</v>
          </cell>
          <cell r="BJ88">
            <v>0</v>
          </cell>
        </row>
        <row r="89">
          <cell r="D89">
            <v>30484292</v>
          </cell>
          <cell r="E89" t="str">
            <v>REPOSICION PRIMERA COMPAÑÍA DE BOMBEROS, PUERTO NATALES (DISEÑO)</v>
          </cell>
          <cell r="G89" t="str">
            <v>Diseño</v>
          </cell>
          <cell r="K89" t="str">
            <v>NATALES</v>
          </cell>
          <cell r="AK89">
            <v>0</v>
          </cell>
          <cell r="AW89">
            <v>83315</v>
          </cell>
          <cell r="BJ89">
            <v>17112</v>
          </cell>
        </row>
        <row r="90">
          <cell r="D90">
            <v>30484686</v>
          </cell>
          <cell r="E90" t="str">
            <v>CONSTRUCCION PUENTE RANCAGUA - C. VIDELA, PUNTA ARENAS. XII REGIÓN</v>
          </cell>
          <cell r="G90" t="str">
            <v>Diseño</v>
          </cell>
          <cell r="K90" t="str">
            <v>PUNTA ARENAS</v>
          </cell>
          <cell r="AK90">
            <v>155079</v>
          </cell>
          <cell r="AW90">
            <v>173040</v>
          </cell>
          <cell r="BJ90">
            <v>0</v>
          </cell>
        </row>
        <row r="91">
          <cell r="D91">
            <v>40002015</v>
          </cell>
          <cell r="E91" t="str">
            <v>MEJORAMIENTO PLAZOLETAS SECTOR SUR I, PUNTA ARENAS</v>
          </cell>
          <cell r="G91" t="str">
            <v>Ejecución</v>
          </cell>
          <cell r="K91" t="str">
            <v>PUNTA ARENAS</v>
          </cell>
          <cell r="AK91">
            <v>0</v>
          </cell>
          <cell r="AW91">
            <v>1353240</v>
          </cell>
          <cell r="BJ91">
            <v>541137</v>
          </cell>
        </row>
        <row r="92">
          <cell r="D92">
            <v>40005071</v>
          </cell>
          <cell r="E92" t="str">
            <v>CONSTRUCCION MACRO INFRAESTRUCTURA URBANA TERRENOS SERVIU 2018, CABO DE HORNOS (PREFACTIBILIDAD</v>
          </cell>
          <cell r="G92" t="str">
            <v>Prefactibilidad</v>
          </cell>
          <cell r="K92" t="str">
            <v>CABO DE HORNOS</v>
          </cell>
          <cell r="AK92">
            <v>0</v>
          </cell>
          <cell r="AW92">
            <v>172199</v>
          </cell>
          <cell r="BJ92">
            <v>0</v>
          </cell>
        </row>
        <row r="93">
          <cell r="D93">
            <v>40006302</v>
          </cell>
          <cell r="E93" t="str">
            <v>REPOSICION VEREDAS POBLACION 18 SEPTIEMBRE, PUNTA ARENAS</v>
          </cell>
          <cell r="G93" t="str">
            <v>Ejecución</v>
          </cell>
          <cell r="K93" t="str">
            <v>PUNTA ARENAS</v>
          </cell>
          <cell r="AK93">
            <v>0</v>
          </cell>
          <cell r="AW93">
            <v>1718570</v>
          </cell>
          <cell r="BJ93">
            <v>1250960</v>
          </cell>
        </row>
        <row r="94">
          <cell r="D94">
            <v>40009238</v>
          </cell>
          <cell r="E94" t="str">
            <v>CONSERVACION SISTEMA DE CALEFACCIÓN Y OTRAS CASA DE LOS INTENDENTES, PUNTA ARENAS</v>
          </cell>
          <cell r="G94" t="str">
            <v>Ejecución</v>
          </cell>
          <cell r="K94" t="str">
            <v>PUNTA ARENAS</v>
          </cell>
          <cell r="AK94">
            <v>1000</v>
          </cell>
          <cell r="AW94">
            <v>370803</v>
          </cell>
          <cell r="BJ94">
            <v>0</v>
          </cell>
        </row>
        <row r="95">
          <cell r="D95">
            <v>40019276</v>
          </cell>
          <cell r="E95" t="str">
            <v>CONSTRUCCION ALCANTARILLADO Y TRATAMIENTO AGUAS SERVIDAS VILLA CAMERON, TIMAUKEL</v>
          </cell>
          <cell r="G95" t="str">
            <v>Ejecución</v>
          </cell>
          <cell r="K95" t="str">
            <v>TIMAUKEL</v>
          </cell>
          <cell r="AK95">
            <v>0</v>
          </cell>
          <cell r="AW95">
            <v>801667</v>
          </cell>
          <cell r="BJ95">
            <v>0</v>
          </cell>
        </row>
        <row r="96">
          <cell r="D96">
            <v>30351234</v>
          </cell>
          <cell r="E96" t="str">
            <v>CONSTRUCCION RED CONTRAINCENDIO CDP DE PORVENIR</v>
          </cell>
          <cell r="G96" t="str">
            <v>Ejecución</v>
          </cell>
          <cell r="K96" t="str">
            <v>PORVENIR</v>
          </cell>
          <cell r="AK96">
            <v>0</v>
          </cell>
          <cell r="AW96">
            <v>439722</v>
          </cell>
          <cell r="BJ96">
            <v>0</v>
          </cell>
        </row>
        <row r="97">
          <cell r="D97">
            <v>30484306</v>
          </cell>
          <cell r="E97" t="str">
            <v>MEJORAMIENTO ESTANDAR URBANO AREAS VERDES BARRIO CARDENAL RAUL SILVA HENRIQUEZ, NATALES</v>
          </cell>
          <cell r="G97" t="str">
            <v>Ejecución</v>
          </cell>
          <cell r="K97" t="str">
            <v>NATALES</v>
          </cell>
          <cell r="AK97">
            <v>0</v>
          </cell>
          <cell r="AW97">
            <v>1376127</v>
          </cell>
          <cell r="BJ97">
            <v>14673</v>
          </cell>
        </row>
        <row r="98">
          <cell r="D98">
            <v>30387773</v>
          </cell>
          <cell r="E98" t="str">
            <v>CONSTRUCCION CENTRO DE GESTIÓN DE RESIDUOS SÓLIDOS, TIERRA DEL FUEGO.  (DISEÑO)</v>
          </cell>
          <cell r="G98" t="str">
            <v>Diseño</v>
          </cell>
          <cell r="K98" t="str">
            <v>PORVENIR</v>
          </cell>
          <cell r="AK98">
            <v>1831507</v>
          </cell>
          <cell r="AW98">
            <v>2350557</v>
          </cell>
          <cell r="BJ98">
            <v>128502</v>
          </cell>
        </row>
        <row r="99">
          <cell r="D99">
            <v>30386072</v>
          </cell>
          <cell r="E99" t="str">
            <v>CONSTRUCCION CENTRO DE GESTIÓN RESIDUOS SÓLIDOS, MAGALLANES.  (DISEÑO)</v>
          </cell>
          <cell r="G99" t="str">
            <v>Diseño</v>
          </cell>
          <cell r="K99" t="str">
            <v>PUNTA ARENAS</v>
          </cell>
          <cell r="AK99">
            <v>193268</v>
          </cell>
          <cell r="AW99">
            <v>765999</v>
          </cell>
          <cell r="BJ99">
            <v>115000</v>
          </cell>
        </row>
        <row r="100">
          <cell r="D100">
            <v>30104545</v>
          </cell>
          <cell r="E100" t="str">
            <v>RESTAURACION Y CONSERVACION INTERIOR PALACIO BRAUN MENENDEZ, P. ARENAS.  (DISEÑO)</v>
          </cell>
          <cell r="G100" t="str">
            <v>Diseño</v>
          </cell>
          <cell r="K100" t="str">
            <v>PUNTA ARENAS</v>
          </cell>
          <cell r="AK100">
            <v>73186</v>
          </cell>
          <cell r="AW100">
            <v>132514</v>
          </cell>
          <cell r="BJ100">
            <v>34364</v>
          </cell>
        </row>
        <row r="101">
          <cell r="D101">
            <v>30383922</v>
          </cell>
          <cell r="E101" t="str">
            <v>CONSTRUCCIÓN PISCINA SEMIOLIMPICA TEMPERADA COMUNA PORVENIR. (DISEÑO)</v>
          </cell>
          <cell r="G101" t="str">
            <v>Diseño</v>
          </cell>
          <cell r="K101" t="str">
            <v>PORVENIR</v>
          </cell>
          <cell r="AK101">
            <v>134448</v>
          </cell>
          <cell r="AW101">
            <v>148273</v>
          </cell>
          <cell r="BJ101">
            <v>0</v>
          </cell>
        </row>
        <row r="102">
          <cell r="D102">
            <v>40009241</v>
          </cell>
          <cell r="E102" t="str">
            <v>CONSTRUCCION SEDE JUNTA DE VECINOS Nº 5 TORRES DEL PAINE P ARENAS</v>
          </cell>
          <cell r="G102" t="str">
            <v>Ejecución</v>
          </cell>
          <cell r="K102" t="str">
            <v>PUNTA ARENAS</v>
          </cell>
          <cell r="AK102">
            <v>0</v>
          </cell>
          <cell r="AW102">
            <v>177637</v>
          </cell>
          <cell r="BJ102">
            <v>69559</v>
          </cell>
        </row>
        <row r="103">
          <cell r="D103">
            <v>40026408</v>
          </cell>
          <cell r="E103" t="str">
            <v>AMPLIACION CEMENTERIO MUNICIPAL PABELLON NICHOS 28 CUARTEL 9 SUR P ARENAS</v>
          </cell>
          <cell r="G103" t="str">
            <v>Ejecución</v>
          </cell>
          <cell r="K103" t="str">
            <v>PUNTA ARENAS</v>
          </cell>
          <cell r="AK103">
            <v>0</v>
          </cell>
          <cell r="AW103">
            <v>138696</v>
          </cell>
          <cell r="BJ103">
            <v>106544</v>
          </cell>
        </row>
        <row r="104">
          <cell r="D104">
            <v>30220022</v>
          </cell>
          <cell r="E104" t="str">
            <v>HABILITACION CONSTRUCCIÓN ARCHIVO Y BIBLIOTECA REGIONAL PUNTA ARENAS</v>
          </cell>
          <cell r="G104" t="str">
            <v>Ejecución</v>
          </cell>
          <cell r="K104" t="str">
            <v>PUNTA ARENAS</v>
          </cell>
          <cell r="AK104">
            <v>0</v>
          </cell>
          <cell r="AW104">
            <v>12648092</v>
          </cell>
          <cell r="BJ104">
            <v>4553166</v>
          </cell>
        </row>
        <row r="105">
          <cell r="D105">
            <v>30463994</v>
          </cell>
          <cell r="E105" t="str">
            <v>CONSTRUCCION MUROS DE CONT. BERNARDO DE VERA Y PINTADO P. ARENAS</v>
          </cell>
          <cell r="G105" t="str">
            <v>Ejecución</v>
          </cell>
          <cell r="K105" t="str">
            <v>PUNTA ARENAS</v>
          </cell>
          <cell r="AK105">
            <v>1663</v>
          </cell>
          <cell r="AW105">
            <v>541700</v>
          </cell>
          <cell r="BJ105">
            <v>0</v>
          </cell>
        </row>
        <row r="106">
          <cell r="D106">
            <v>40024775</v>
          </cell>
          <cell r="E106" t="str">
            <v>CONSTRUCCION SISTEMA DE RECOLECCION DE AGUAS SERVIDAS SECTOR SUR , PUNTA ARENAS</v>
          </cell>
          <cell r="G106" t="str">
            <v>Diseño</v>
          </cell>
          <cell r="K106" t="str">
            <v>PUNTA ARENAS</v>
          </cell>
          <cell r="AK106">
            <v>0</v>
          </cell>
          <cell r="AW106">
            <v>369969</v>
          </cell>
          <cell r="BJ106">
            <v>189480</v>
          </cell>
        </row>
        <row r="107">
          <cell r="D107">
            <v>30472846</v>
          </cell>
          <cell r="E107" t="str">
            <v>CONSTRUCCION PARQUE EOLICO CABO NEGRO</v>
          </cell>
          <cell r="G107" t="str">
            <v>Ejecución</v>
          </cell>
          <cell r="K107" t="str">
            <v>INTERCOMUNAL</v>
          </cell>
          <cell r="AK107">
            <v>3710441</v>
          </cell>
          <cell r="AW107">
            <v>3478450</v>
          </cell>
          <cell r="BJ107">
            <v>0</v>
          </cell>
        </row>
        <row r="108">
          <cell r="D108">
            <v>30415423</v>
          </cell>
          <cell r="E108" t="str">
            <v>CONSTRUCCION CAMINO RIO HOLLEMBERG - RIO PEREZ, ETAPA II, RÍO VERDE,XII REGIÓN</v>
          </cell>
          <cell r="G108" t="str">
            <v>Ejecución</v>
          </cell>
          <cell r="K108" t="str">
            <v>RÍO VERDE</v>
          </cell>
          <cell r="AK108">
            <v>191113</v>
          </cell>
          <cell r="AW108">
            <v>22880685</v>
          </cell>
          <cell r="BJ108">
            <v>1106863</v>
          </cell>
        </row>
        <row r="109">
          <cell r="D109">
            <v>30469888</v>
          </cell>
          <cell r="E109" t="str">
            <v>MEJORAMIENTO Y REPOSICIÓN ESC. BERNARDO OHIGGINS, PORVENIR DISEÑO</v>
          </cell>
          <cell r="G109" t="str">
            <v>Diseño</v>
          </cell>
          <cell r="K109" t="str">
            <v>PORVENIR</v>
          </cell>
          <cell r="AK109">
            <v>0</v>
          </cell>
          <cell r="AW109">
            <v>349978</v>
          </cell>
          <cell r="BJ109">
            <v>276833</v>
          </cell>
        </row>
        <row r="110">
          <cell r="D110">
            <v>40008005</v>
          </cell>
          <cell r="E110" t="str">
            <v>REPOSICION SEDE VECINAL Nº 12 MANUEL CHAPARRO PUNTA ARENAS DISEÑO</v>
          </cell>
          <cell r="G110" t="str">
            <v>Diseño</v>
          </cell>
          <cell r="K110" t="str">
            <v>PUNTA ARENAS</v>
          </cell>
          <cell r="AK110">
            <v>0</v>
          </cell>
          <cell r="AW110">
            <v>56463</v>
          </cell>
          <cell r="BJ110">
            <v>34479</v>
          </cell>
        </row>
        <row r="111">
          <cell r="D111">
            <v>40019951</v>
          </cell>
          <cell r="E111" t="str">
            <v>HABILITACION SERVICIOS PÚBLICOS PROVINCIALES EN EX HOSPITAL, PUERTO NATALES</v>
          </cell>
          <cell r="G111" t="str">
            <v>Diseño</v>
          </cell>
          <cell r="K111" t="str">
            <v>NATALES</v>
          </cell>
          <cell r="AK111">
            <v>0</v>
          </cell>
          <cell r="AW111">
            <v>159464</v>
          </cell>
          <cell r="BJ111">
            <v>88590</v>
          </cell>
        </row>
        <row r="112">
          <cell r="D112">
            <v>30344972</v>
          </cell>
          <cell r="E112" t="str">
            <v>CONSTRUCCION LOTEOS HABITACIONALES FSEV 2014, PUNTA ARENAS.  (DISEÑO)</v>
          </cell>
          <cell r="G112" t="str">
            <v>Diseño</v>
          </cell>
          <cell r="K112" t="str">
            <v>PUNTA ARENAS</v>
          </cell>
          <cell r="AK112">
            <v>151129</v>
          </cell>
          <cell r="AW112">
            <v>281514</v>
          </cell>
          <cell r="BJ112">
            <v>521</v>
          </cell>
        </row>
        <row r="113">
          <cell r="D113">
            <v>40008099</v>
          </cell>
          <cell r="E113" t="str">
            <v>CONTROL DE MASCOTAS, FOMENTO TENENCIA RESPONSABLE EN LA COMUNA DE PORVENIR</v>
          </cell>
          <cell r="G113" t="str">
            <v>Ejecución</v>
          </cell>
          <cell r="K113" t="str">
            <v>PORVENIR</v>
          </cell>
          <cell r="AK113">
            <v>23298</v>
          </cell>
          <cell r="AW113">
            <v>123789</v>
          </cell>
          <cell r="BJ113">
            <v>37387</v>
          </cell>
        </row>
        <row r="115">
          <cell r="AK115">
            <v>131514349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78"/>
  <sheetViews>
    <sheetView showGridLines="0" topLeftCell="A9" zoomScaleNormal="100" workbookViewId="0">
      <pane ySplit="7" topLeftCell="A16" activePane="bottomLeft" state="frozen"/>
      <selection activeCell="A9" sqref="A9"/>
      <selection pane="bottomLeft" activeCell="D15" sqref="D15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40" style="4" customWidth="1"/>
    <col min="6" max="6" width="13.140625" style="4" customWidth="1"/>
    <col min="7" max="7" width="11.28515625" style="4" customWidth="1"/>
    <col min="8" max="8" width="18.85546875" style="4" customWidth="1"/>
    <col min="9" max="9" width="13.140625" style="4" customWidth="1"/>
    <col min="10" max="10" width="9.7109375" style="4" customWidth="1"/>
    <col min="11" max="13" width="12" style="4" customWidth="1"/>
    <col min="14" max="15" width="14.85546875" style="4" bestFit="1" customWidth="1"/>
    <col min="16" max="24" width="12" style="4" customWidth="1"/>
    <col min="25" max="25" width="13.42578125" style="4" customWidth="1"/>
    <col min="26" max="26" width="10.140625" style="4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159"/>
      <c r="AE1" s="2"/>
      <c r="AF1" s="159"/>
      <c r="AG1" s="159"/>
      <c r="AH1" s="159"/>
      <c r="AI1" s="3"/>
      <c r="AJ1" s="159"/>
      <c r="AK1" s="159"/>
      <c r="AL1" s="159"/>
      <c r="AM1" s="3"/>
      <c r="AN1" s="159"/>
      <c r="AO1" s="159"/>
      <c r="AP1" s="159"/>
      <c r="AQ1" s="3"/>
      <c r="AR1" s="159"/>
      <c r="AS1" s="159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159"/>
      <c r="AE2" s="2"/>
      <c r="AF2" s="159"/>
      <c r="AG2" s="159"/>
      <c r="AH2" s="159"/>
      <c r="AI2" s="3"/>
      <c r="AJ2" s="159"/>
      <c r="AK2" s="159"/>
      <c r="AL2" s="159"/>
      <c r="AM2" s="3"/>
      <c r="AN2" s="159"/>
      <c r="AO2" s="159"/>
      <c r="AP2" s="159"/>
      <c r="AQ2" s="3"/>
      <c r="AR2" s="159"/>
      <c r="AS2" s="159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158"/>
      <c r="AE3" s="6"/>
      <c r="AF3" s="158"/>
      <c r="AG3" s="158"/>
      <c r="AH3" s="158"/>
      <c r="AI3" s="7"/>
      <c r="AJ3" s="158"/>
      <c r="AK3" s="158"/>
      <c r="AL3" s="158"/>
      <c r="AM3" s="7"/>
      <c r="AN3" s="158"/>
      <c r="AO3" s="158"/>
      <c r="AP3" s="158"/>
      <c r="AQ3" s="7"/>
      <c r="AR3" s="158"/>
      <c r="AS3" s="158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158"/>
      <c r="AE4" s="6"/>
      <c r="AF4" s="158"/>
      <c r="AG4" s="158"/>
      <c r="AH4" s="158"/>
      <c r="AI4" s="7"/>
      <c r="AJ4" s="158"/>
      <c r="AK4" s="158"/>
      <c r="AL4" s="158"/>
      <c r="AM4" s="7"/>
      <c r="AN4" s="158"/>
      <c r="AO4" s="158"/>
      <c r="AP4" s="158"/>
      <c r="AQ4" s="7"/>
      <c r="AR4" s="158"/>
      <c r="AS4" s="158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158"/>
      <c r="AE5" s="6"/>
      <c r="AF5" s="158"/>
      <c r="AG5" s="158"/>
      <c r="AH5" s="158"/>
      <c r="AI5" s="7"/>
      <c r="AJ5" s="158"/>
      <c r="AK5" s="158"/>
      <c r="AL5" s="158"/>
      <c r="AM5" s="7"/>
      <c r="AN5" s="158"/>
      <c r="AO5" s="158"/>
      <c r="AP5" s="158"/>
      <c r="AQ5" s="7"/>
      <c r="AR5" s="158"/>
      <c r="AS5" s="158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158"/>
      <c r="AE6" s="6"/>
      <c r="AF6" s="158"/>
      <c r="AG6" s="158"/>
      <c r="AH6" s="158"/>
      <c r="AI6" s="7"/>
      <c r="AJ6" s="158"/>
      <c r="AK6" s="158"/>
      <c r="AL6" s="158"/>
      <c r="AM6" s="7"/>
      <c r="AN6" s="158"/>
      <c r="AO6" s="158"/>
      <c r="AP6" s="158"/>
      <c r="AQ6" s="7"/>
      <c r="AR6" s="158"/>
      <c r="AS6" s="158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158"/>
      <c r="AE7" s="6"/>
      <c r="AF7" s="158"/>
      <c r="AG7" s="158"/>
      <c r="AH7" s="158"/>
      <c r="AI7" s="7"/>
      <c r="AJ7" s="158"/>
      <c r="AK7" s="158"/>
      <c r="AL7" s="158"/>
      <c r="AM7" s="7"/>
      <c r="AN7" s="158"/>
      <c r="AO7" s="158"/>
      <c r="AP7" s="158"/>
      <c r="AQ7" s="7"/>
      <c r="AR7" s="158"/>
      <c r="AS7" s="158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158"/>
      <c r="AE8" s="6"/>
      <c r="AF8" s="158"/>
      <c r="AG8" s="158"/>
      <c r="AH8" s="158"/>
      <c r="AI8" s="7"/>
      <c r="AJ8" s="158"/>
      <c r="AK8" s="158"/>
      <c r="AL8" s="158"/>
      <c r="AM8" s="7"/>
      <c r="AN8" s="158"/>
      <c r="AO8" s="158"/>
      <c r="AP8" s="158"/>
      <c r="AQ8" s="7"/>
      <c r="AR8" s="158"/>
      <c r="AS8" s="158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158"/>
      <c r="AE9" s="6"/>
      <c r="AF9" s="158"/>
      <c r="AG9" s="158"/>
      <c r="AH9" s="158"/>
      <c r="AI9" s="7"/>
      <c r="AJ9" s="158"/>
      <c r="AK9" s="158"/>
      <c r="AL9" s="158"/>
      <c r="AM9" s="7"/>
      <c r="AN9" s="158"/>
      <c r="AO9" s="158"/>
      <c r="AP9" s="158"/>
      <c r="AQ9" s="7"/>
      <c r="AR9" s="158"/>
      <c r="AS9" s="158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83"/>
      <c r="G12" s="157"/>
      <c r="H12" s="157"/>
      <c r="I12" s="183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</row>
    <row r="13" spans="2:47" ht="18.75" x14ac:dyDescent="0.2">
      <c r="B13" s="15">
        <v>26230500</v>
      </c>
      <c r="C13" s="15">
        <v>23358950</v>
      </c>
      <c r="D13" s="15">
        <v>23488744</v>
      </c>
      <c r="E13" s="15">
        <f>+Y78</f>
        <v>1354015</v>
      </c>
      <c r="F13" s="184"/>
      <c r="G13" s="157"/>
      <c r="H13" s="157"/>
      <c r="I13" s="184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</row>
    <row r="14" spans="2:47" ht="15" customHeight="1" x14ac:dyDescent="0.2">
      <c r="C14" s="17"/>
      <c r="D14" s="18"/>
      <c r="E14" s="17"/>
      <c r="F14" s="17"/>
      <c r="I14" s="17"/>
      <c r="Z14" s="521" t="s">
        <v>5</v>
      </c>
      <c r="AA14" s="522"/>
      <c r="AB14" s="522"/>
      <c r="AC14" s="522"/>
      <c r="AD14" s="523" t="s">
        <v>6</v>
      </c>
      <c r="AE14" s="518"/>
      <c r="AF14" s="518"/>
      <c r="AG14" s="518"/>
      <c r="AH14" s="523" t="s">
        <v>6</v>
      </c>
      <c r="AI14" s="518"/>
      <c r="AJ14" s="518"/>
      <c r="AK14" s="518"/>
      <c r="AL14" s="523" t="s">
        <v>6</v>
      </c>
      <c r="AM14" s="518"/>
      <c r="AN14" s="518"/>
      <c r="AO14" s="518"/>
      <c r="AP14" s="523" t="s">
        <v>6</v>
      </c>
      <c r="AQ14" s="518"/>
      <c r="AR14" s="518"/>
      <c r="AS14" s="518"/>
      <c r="AT14" s="518" t="s">
        <v>7</v>
      </c>
      <c r="AU14" s="518"/>
    </row>
    <row r="15" spans="2:47" s="26" customFormat="1" ht="55.5" customHeight="1" x14ac:dyDescent="0.25">
      <c r="B15" s="185" t="s">
        <v>8</v>
      </c>
      <c r="C15" s="185" t="s">
        <v>9</v>
      </c>
      <c r="D15" s="185" t="s">
        <v>10</v>
      </c>
      <c r="E15" s="12" t="s">
        <v>11</v>
      </c>
      <c r="F15" s="12" t="s">
        <v>12</v>
      </c>
      <c r="G15" s="12" t="s">
        <v>13</v>
      </c>
      <c r="H15" s="12" t="s">
        <v>14</v>
      </c>
      <c r="I15" s="12" t="s">
        <v>12</v>
      </c>
      <c r="J15" s="12" t="s">
        <v>16</v>
      </c>
      <c r="K15" s="12" t="s">
        <v>17</v>
      </c>
      <c r="L15" s="12" t="s">
        <v>18</v>
      </c>
      <c r="M15" s="186" t="s">
        <v>19</v>
      </c>
      <c r="N15" s="186" t="s">
        <v>20</v>
      </c>
      <c r="O15" s="186" t="s">
        <v>21</v>
      </c>
      <c r="P15" s="186" t="s">
        <v>22</v>
      </c>
      <c r="Q15" s="186" t="s">
        <v>23</v>
      </c>
      <c r="R15" s="187" t="s">
        <v>24</v>
      </c>
      <c r="S15" s="187" t="s">
        <v>25</v>
      </c>
      <c r="T15" s="187" t="s">
        <v>26</v>
      </c>
      <c r="U15" s="187" t="s">
        <v>27</v>
      </c>
      <c r="V15" s="187" t="s">
        <v>28</v>
      </c>
      <c r="W15" s="187" t="s">
        <v>29</v>
      </c>
      <c r="X15" s="187" t="s">
        <v>30</v>
      </c>
      <c r="Y15" s="188" t="s">
        <v>31</v>
      </c>
      <c r="Z15" s="189" t="s">
        <v>32</v>
      </c>
      <c r="AA15" s="190" t="s">
        <v>33</v>
      </c>
      <c r="AB15" s="189" t="s">
        <v>34</v>
      </c>
      <c r="AC15" s="189" t="s">
        <v>35</v>
      </c>
      <c r="AD15" s="191" t="s">
        <v>36</v>
      </c>
      <c r="AE15" s="192" t="s">
        <v>33</v>
      </c>
      <c r="AF15" s="191" t="s">
        <v>34</v>
      </c>
      <c r="AG15" s="191" t="s">
        <v>35</v>
      </c>
      <c r="AH15" s="189" t="s">
        <v>36</v>
      </c>
      <c r="AI15" s="193" t="s">
        <v>33</v>
      </c>
      <c r="AJ15" s="189" t="s">
        <v>34</v>
      </c>
      <c r="AK15" s="189" t="s">
        <v>35</v>
      </c>
      <c r="AL15" s="191" t="s">
        <v>36</v>
      </c>
      <c r="AM15" s="192" t="s">
        <v>33</v>
      </c>
      <c r="AN15" s="191" t="s">
        <v>34</v>
      </c>
      <c r="AO15" s="191" t="s">
        <v>35</v>
      </c>
      <c r="AP15" s="189" t="s">
        <v>36</v>
      </c>
      <c r="AQ15" s="193" t="s">
        <v>33</v>
      </c>
      <c r="AR15" s="189" t="s">
        <v>34</v>
      </c>
      <c r="AS15" s="189" t="s">
        <v>35</v>
      </c>
      <c r="AT15" s="194" t="s">
        <v>37</v>
      </c>
      <c r="AU15" s="194" t="s">
        <v>38</v>
      </c>
    </row>
    <row r="16" spans="2:47" s="26" customFormat="1" ht="22.5" customHeight="1" x14ac:dyDescent="0.25">
      <c r="B16" s="195">
        <v>1</v>
      </c>
      <c r="C16" s="195" t="s">
        <v>42</v>
      </c>
      <c r="D16" s="196">
        <v>30077611</v>
      </c>
      <c r="E16" s="197" t="s">
        <v>784</v>
      </c>
      <c r="F16" s="198" t="s">
        <v>147</v>
      </c>
      <c r="G16" s="36" t="s">
        <v>785</v>
      </c>
      <c r="H16" s="30" t="s">
        <v>786</v>
      </c>
      <c r="I16" s="199" t="s">
        <v>57</v>
      </c>
      <c r="J16" s="31">
        <v>728156</v>
      </c>
      <c r="K16" s="31">
        <v>427204</v>
      </c>
      <c r="L16" s="31">
        <v>0</v>
      </c>
      <c r="M16" s="31">
        <v>0</v>
      </c>
      <c r="N16" s="200">
        <v>0</v>
      </c>
      <c r="O16" s="200">
        <v>0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>SUM(M16:X16)</f>
        <v>0</v>
      </c>
      <c r="Z16" s="106">
        <v>36000</v>
      </c>
      <c r="AA16" s="33">
        <v>5</v>
      </c>
      <c r="AB16" s="41">
        <v>44229</v>
      </c>
      <c r="AC16" s="41">
        <v>44246</v>
      </c>
      <c r="AD16" s="106"/>
      <c r="AE16" s="35"/>
      <c r="AF16" s="41"/>
      <c r="AG16" s="89"/>
      <c r="AH16" s="106"/>
      <c r="AI16" s="33"/>
      <c r="AJ16" s="36"/>
      <c r="AK16" s="89"/>
      <c r="AL16" s="106"/>
      <c r="AM16" s="33"/>
      <c r="AN16" s="36"/>
      <c r="AO16" s="89"/>
      <c r="AP16" s="106"/>
      <c r="AQ16" s="33"/>
      <c r="AR16" s="36"/>
      <c r="AS16" s="89"/>
      <c r="AT16" s="37">
        <f t="shared" ref="AT16:AT77" si="0">+Z16+AD16+AH16+AL16+AP16</f>
        <v>36000</v>
      </c>
      <c r="AU16" s="201">
        <f t="shared" ref="AU16:AU77" si="1">+AT16-Y16</f>
        <v>36000</v>
      </c>
    </row>
    <row r="17" spans="2:47" s="26" customFormat="1" ht="22.5" x14ac:dyDescent="0.25">
      <c r="B17" s="195">
        <v>2</v>
      </c>
      <c r="C17" s="195" t="s">
        <v>42</v>
      </c>
      <c r="D17" s="196">
        <v>40007344</v>
      </c>
      <c r="E17" s="197" t="s">
        <v>787</v>
      </c>
      <c r="F17" s="198" t="s">
        <v>147</v>
      </c>
      <c r="G17" s="36" t="s">
        <v>785</v>
      </c>
      <c r="H17" s="30" t="s">
        <v>93</v>
      </c>
      <c r="I17" s="199" t="s">
        <v>72</v>
      </c>
      <c r="J17" s="31">
        <v>155254</v>
      </c>
      <c r="K17" s="31">
        <v>27000</v>
      </c>
      <c r="L17" s="31">
        <v>0</v>
      </c>
      <c r="M17" s="31">
        <v>0</v>
      </c>
      <c r="N17" s="200">
        <v>0</v>
      </c>
      <c r="O17" s="200">
        <v>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ref="Y17:Y77" si="2">SUM(M17:X17)</f>
        <v>0</v>
      </c>
      <c r="Z17" s="106">
        <v>40930</v>
      </c>
      <c r="AA17" s="33">
        <v>5</v>
      </c>
      <c r="AB17" s="41">
        <v>44229</v>
      </c>
      <c r="AC17" s="41">
        <v>44246</v>
      </c>
      <c r="AD17" s="106"/>
      <c r="AE17" s="35"/>
      <c r="AF17" s="36"/>
      <c r="AG17" s="89"/>
      <c r="AH17" s="106"/>
      <c r="AI17" s="33"/>
      <c r="AJ17" s="36"/>
      <c r="AK17" s="89"/>
      <c r="AL17" s="106"/>
      <c r="AM17" s="33"/>
      <c r="AN17" s="36"/>
      <c r="AO17" s="89"/>
      <c r="AP17" s="106"/>
      <c r="AQ17" s="33"/>
      <c r="AR17" s="36"/>
      <c r="AS17" s="89"/>
      <c r="AT17" s="37">
        <f t="shared" si="0"/>
        <v>40930</v>
      </c>
      <c r="AU17" s="201">
        <f t="shared" si="1"/>
        <v>40930</v>
      </c>
    </row>
    <row r="18" spans="2:47" s="26" customFormat="1" ht="24" x14ac:dyDescent="0.25">
      <c r="B18" s="195">
        <v>3</v>
      </c>
      <c r="C18" s="195" t="s">
        <v>39</v>
      </c>
      <c r="D18" s="202">
        <v>30440181</v>
      </c>
      <c r="E18" s="203" t="s">
        <v>788</v>
      </c>
      <c r="F18" s="198" t="s">
        <v>147</v>
      </c>
      <c r="G18" s="36" t="s">
        <v>785</v>
      </c>
      <c r="H18" s="30" t="s">
        <v>789</v>
      </c>
      <c r="I18" s="199" t="s">
        <v>57</v>
      </c>
      <c r="J18" s="31">
        <v>6637574</v>
      </c>
      <c r="K18" s="31">
        <v>6440789</v>
      </c>
      <c r="L18" s="31">
        <v>0</v>
      </c>
      <c r="M18" s="31">
        <v>0</v>
      </c>
      <c r="N18" s="200">
        <v>0</v>
      </c>
      <c r="O18" s="200">
        <v>1505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2"/>
        <v>1505</v>
      </c>
      <c r="Z18" s="106">
        <v>173918</v>
      </c>
      <c r="AA18" s="33">
        <v>5</v>
      </c>
      <c r="AB18" s="41">
        <v>44229</v>
      </c>
      <c r="AC18" s="41">
        <v>44246</v>
      </c>
      <c r="AD18" s="204"/>
      <c r="AE18" s="35"/>
      <c r="AF18" s="41"/>
      <c r="AG18" s="89"/>
      <c r="AH18" s="204"/>
      <c r="AI18" s="33"/>
      <c r="AJ18" s="41"/>
      <c r="AK18" s="89"/>
      <c r="AL18" s="204"/>
      <c r="AM18" s="33"/>
      <c r="AN18" s="41"/>
      <c r="AO18" s="89"/>
      <c r="AP18" s="204"/>
      <c r="AQ18" s="33"/>
      <c r="AR18" s="41"/>
      <c r="AS18" s="89"/>
      <c r="AT18" s="37">
        <f t="shared" si="0"/>
        <v>173918</v>
      </c>
      <c r="AU18" s="201">
        <f t="shared" si="1"/>
        <v>172413</v>
      </c>
    </row>
    <row r="19" spans="2:47" s="26" customFormat="1" ht="24" x14ac:dyDescent="0.25">
      <c r="B19" s="195">
        <v>4</v>
      </c>
      <c r="C19" s="195" t="s">
        <v>39</v>
      </c>
      <c r="D19" s="202">
        <v>30463053</v>
      </c>
      <c r="E19" s="203" t="s">
        <v>790</v>
      </c>
      <c r="F19" s="198" t="s">
        <v>147</v>
      </c>
      <c r="G19" s="36" t="s">
        <v>785</v>
      </c>
      <c r="H19" s="30" t="s">
        <v>786</v>
      </c>
      <c r="I19" s="199" t="s">
        <v>57</v>
      </c>
      <c r="J19" s="31">
        <v>3558873</v>
      </c>
      <c r="K19" s="31">
        <v>2953127</v>
      </c>
      <c r="L19" s="31">
        <v>0</v>
      </c>
      <c r="M19" s="31">
        <v>0</v>
      </c>
      <c r="N19" s="200">
        <v>8222</v>
      </c>
      <c r="O19" s="200">
        <v>2000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2"/>
        <v>10222</v>
      </c>
      <c r="Z19" s="106">
        <v>273850</v>
      </c>
      <c r="AA19" s="33">
        <v>5</v>
      </c>
      <c r="AB19" s="41">
        <v>44229</v>
      </c>
      <c r="AC19" s="41">
        <v>44246</v>
      </c>
      <c r="AD19" s="106"/>
      <c r="AE19" s="35"/>
      <c r="AF19" s="41"/>
      <c r="AG19" s="89"/>
      <c r="AH19" s="31"/>
      <c r="AI19" s="33"/>
      <c r="AJ19" s="41"/>
      <c r="AK19" s="89"/>
      <c r="AL19" s="31"/>
      <c r="AM19" s="33"/>
      <c r="AN19" s="41"/>
      <c r="AO19" s="89"/>
      <c r="AP19" s="31"/>
      <c r="AQ19" s="33"/>
      <c r="AR19" s="41"/>
      <c r="AS19" s="89"/>
      <c r="AT19" s="37">
        <f t="shared" si="0"/>
        <v>273850</v>
      </c>
      <c r="AU19" s="201">
        <f t="shared" si="1"/>
        <v>263628</v>
      </c>
    </row>
    <row r="20" spans="2:47" s="26" customFormat="1" ht="24" x14ac:dyDescent="0.25">
      <c r="B20" s="195">
        <v>5</v>
      </c>
      <c r="C20" s="195" t="s">
        <v>39</v>
      </c>
      <c r="D20" s="202">
        <v>30096888</v>
      </c>
      <c r="E20" s="203" t="s">
        <v>791</v>
      </c>
      <c r="F20" s="198" t="s">
        <v>147</v>
      </c>
      <c r="G20" s="36" t="s">
        <v>785</v>
      </c>
      <c r="H20" s="30" t="s">
        <v>792</v>
      </c>
      <c r="I20" s="199" t="s">
        <v>57</v>
      </c>
      <c r="J20" s="31">
        <v>4988981</v>
      </c>
      <c r="K20" s="31">
        <v>3566868</v>
      </c>
      <c r="L20" s="31">
        <v>0</v>
      </c>
      <c r="M20" s="31">
        <v>0</v>
      </c>
      <c r="N20" s="200">
        <v>120087</v>
      </c>
      <c r="O20" s="200">
        <v>161897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2"/>
        <v>281984</v>
      </c>
      <c r="Z20" s="106">
        <v>491833</v>
      </c>
      <c r="AA20" s="33">
        <v>5</v>
      </c>
      <c r="AB20" s="41">
        <v>44229</v>
      </c>
      <c r="AC20" s="41">
        <v>44246</v>
      </c>
      <c r="AD20" s="106"/>
      <c r="AE20" s="35"/>
      <c r="AF20" s="41"/>
      <c r="AG20" s="89"/>
      <c r="AH20" s="31"/>
      <c r="AI20" s="33"/>
      <c r="AJ20" s="41"/>
      <c r="AK20" s="89"/>
      <c r="AL20" s="31"/>
      <c r="AM20" s="33"/>
      <c r="AN20" s="41"/>
      <c r="AO20" s="89"/>
      <c r="AP20" s="31"/>
      <c r="AQ20" s="33"/>
      <c r="AR20" s="41"/>
      <c r="AS20" s="89"/>
      <c r="AT20" s="37">
        <f t="shared" si="0"/>
        <v>491833</v>
      </c>
      <c r="AU20" s="201">
        <f t="shared" si="1"/>
        <v>209849</v>
      </c>
    </row>
    <row r="21" spans="2:47" s="26" customFormat="1" ht="24" x14ac:dyDescent="0.25">
      <c r="B21" s="195">
        <v>6</v>
      </c>
      <c r="C21" s="195" t="s">
        <v>39</v>
      </c>
      <c r="D21" s="202">
        <v>30345873</v>
      </c>
      <c r="E21" s="203" t="s">
        <v>793</v>
      </c>
      <c r="F21" s="198" t="s">
        <v>147</v>
      </c>
      <c r="G21" s="36" t="s">
        <v>785</v>
      </c>
      <c r="H21" s="30" t="s">
        <v>786</v>
      </c>
      <c r="I21" s="199" t="s">
        <v>57</v>
      </c>
      <c r="J21" s="31">
        <v>3238007</v>
      </c>
      <c r="K21" s="31">
        <v>3133903</v>
      </c>
      <c r="L21" s="31">
        <v>0</v>
      </c>
      <c r="M21" s="31">
        <v>0</v>
      </c>
      <c r="N21" s="200">
        <v>0</v>
      </c>
      <c r="O21" s="200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2"/>
        <v>0</v>
      </c>
      <c r="Z21" s="106">
        <v>101813</v>
      </c>
      <c r="AA21" s="33">
        <v>5</v>
      </c>
      <c r="AB21" s="41">
        <v>44229</v>
      </c>
      <c r="AC21" s="41">
        <v>44246</v>
      </c>
      <c r="AD21" s="106">
        <v>-101812</v>
      </c>
      <c r="AE21" s="35">
        <v>9</v>
      </c>
      <c r="AF21" s="41">
        <v>44238</v>
      </c>
      <c r="AG21" s="41">
        <v>44259</v>
      </c>
      <c r="AH21" s="31"/>
      <c r="AI21" s="33"/>
      <c r="AJ21" s="41"/>
      <c r="AK21" s="89"/>
      <c r="AL21" s="31"/>
      <c r="AM21" s="33"/>
      <c r="AN21" s="41"/>
      <c r="AO21" s="89"/>
      <c r="AP21" s="31"/>
      <c r="AQ21" s="33"/>
      <c r="AR21" s="41"/>
      <c r="AS21" s="89"/>
      <c r="AT21" s="37">
        <f t="shared" si="0"/>
        <v>1</v>
      </c>
      <c r="AU21" s="201">
        <f t="shared" si="1"/>
        <v>1</v>
      </c>
    </row>
    <row r="22" spans="2:47" s="26" customFormat="1" ht="24" x14ac:dyDescent="0.25">
      <c r="B22" s="195">
        <v>7</v>
      </c>
      <c r="C22" s="195" t="s">
        <v>39</v>
      </c>
      <c r="D22" s="202">
        <v>30344623</v>
      </c>
      <c r="E22" s="203" t="s">
        <v>794</v>
      </c>
      <c r="F22" s="198" t="s">
        <v>193</v>
      </c>
      <c r="G22" s="36" t="s">
        <v>785</v>
      </c>
      <c r="H22" s="30" t="s">
        <v>792</v>
      </c>
      <c r="I22" s="199" t="s">
        <v>57</v>
      </c>
      <c r="J22" s="31">
        <v>168418</v>
      </c>
      <c r="K22" s="31">
        <v>159529</v>
      </c>
      <c r="L22" s="31">
        <v>0</v>
      </c>
      <c r="M22" s="31">
        <v>0</v>
      </c>
      <c r="N22" s="200">
        <v>0</v>
      </c>
      <c r="O22" s="200">
        <v>0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2"/>
        <v>0</v>
      </c>
      <c r="Z22" s="106">
        <v>8666</v>
      </c>
      <c r="AA22" s="33">
        <v>5</v>
      </c>
      <c r="AB22" s="41">
        <v>44229</v>
      </c>
      <c r="AC22" s="41">
        <v>44246</v>
      </c>
      <c r="AD22" s="106"/>
      <c r="AE22" s="35"/>
      <c r="AF22" s="36"/>
      <c r="AG22" s="89"/>
      <c r="AH22" s="106"/>
      <c r="AI22" s="33"/>
      <c r="AJ22" s="36"/>
      <c r="AK22" s="89"/>
      <c r="AL22" s="106"/>
      <c r="AM22" s="33"/>
      <c r="AN22" s="36"/>
      <c r="AO22" s="89"/>
      <c r="AP22" s="106"/>
      <c r="AQ22" s="33"/>
      <c r="AR22" s="36"/>
      <c r="AS22" s="89"/>
      <c r="AT22" s="37">
        <f t="shared" si="0"/>
        <v>8666</v>
      </c>
      <c r="AU22" s="201">
        <f t="shared" si="1"/>
        <v>8666</v>
      </c>
    </row>
    <row r="23" spans="2:47" s="26" customFormat="1" ht="24" x14ac:dyDescent="0.25">
      <c r="B23" s="195">
        <v>8</v>
      </c>
      <c r="C23" s="195" t="s">
        <v>39</v>
      </c>
      <c r="D23" s="202">
        <v>30346224</v>
      </c>
      <c r="E23" s="203" t="s">
        <v>795</v>
      </c>
      <c r="F23" s="198" t="s">
        <v>147</v>
      </c>
      <c r="G23" s="36" t="s">
        <v>785</v>
      </c>
      <c r="H23" s="30" t="s">
        <v>786</v>
      </c>
      <c r="I23" s="199" t="s">
        <v>57</v>
      </c>
      <c r="J23" s="31">
        <v>1953574</v>
      </c>
      <c r="K23" s="31">
        <v>1547135</v>
      </c>
      <c r="L23" s="31">
        <v>1</v>
      </c>
      <c r="M23" s="31">
        <v>0</v>
      </c>
      <c r="N23" s="200">
        <v>0</v>
      </c>
      <c r="O23" s="200">
        <v>0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2"/>
        <v>0</v>
      </c>
      <c r="Z23" s="106">
        <v>184286</v>
      </c>
      <c r="AA23" s="33">
        <v>5</v>
      </c>
      <c r="AB23" s="41">
        <v>44229</v>
      </c>
      <c r="AC23" s="41">
        <v>44246</v>
      </c>
      <c r="AD23" s="106">
        <v>-100000</v>
      </c>
      <c r="AE23" s="35">
        <v>7</v>
      </c>
      <c r="AF23" s="41">
        <v>44229</v>
      </c>
      <c r="AG23" s="41">
        <v>44250</v>
      </c>
      <c r="AH23" s="106">
        <v>-84284</v>
      </c>
      <c r="AI23" s="35">
        <v>9</v>
      </c>
      <c r="AJ23" s="41">
        <v>44238</v>
      </c>
      <c r="AK23" s="41">
        <v>44259</v>
      </c>
      <c r="AL23" s="106"/>
      <c r="AM23" s="33"/>
      <c r="AN23" s="36"/>
      <c r="AO23" s="89"/>
      <c r="AP23" s="106"/>
      <c r="AQ23" s="33"/>
      <c r="AR23" s="36"/>
      <c r="AS23" s="89"/>
      <c r="AT23" s="37">
        <f t="shared" si="0"/>
        <v>2</v>
      </c>
      <c r="AU23" s="201">
        <f t="shared" si="1"/>
        <v>2</v>
      </c>
    </row>
    <row r="24" spans="2:47" s="26" customFormat="1" ht="23.25" customHeight="1" x14ac:dyDescent="0.25">
      <c r="B24" s="195">
        <v>9</v>
      </c>
      <c r="C24" s="195" t="s">
        <v>39</v>
      </c>
      <c r="D24" s="202">
        <v>30482214</v>
      </c>
      <c r="E24" s="203" t="s">
        <v>796</v>
      </c>
      <c r="F24" s="198" t="s">
        <v>147</v>
      </c>
      <c r="G24" s="36" t="s">
        <v>785</v>
      </c>
      <c r="H24" s="30" t="s">
        <v>786</v>
      </c>
      <c r="I24" s="199" t="s">
        <v>57</v>
      </c>
      <c r="J24" s="31">
        <v>1802544</v>
      </c>
      <c r="K24" s="31">
        <v>1293947</v>
      </c>
      <c r="L24" s="31">
        <v>0</v>
      </c>
      <c r="M24" s="31">
        <v>0</v>
      </c>
      <c r="N24" s="200">
        <v>0</v>
      </c>
      <c r="O24" s="200">
        <v>0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2"/>
        <v>0</v>
      </c>
      <c r="Z24" s="106">
        <v>167012</v>
      </c>
      <c r="AA24" s="33">
        <v>5</v>
      </c>
      <c r="AB24" s="41">
        <v>44229</v>
      </c>
      <c r="AC24" s="41">
        <v>44246</v>
      </c>
      <c r="AD24" s="106">
        <v>-167010</v>
      </c>
      <c r="AE24" s="35">
        <v>9</v>
      </c>
      <c r="AF24" s="41">
        <v>44238</v>
      </c>
      <c r="AG24" s="41">
        <v>44259</v>
      </c>
      <c r="AH24" s="106"/>
      <c r="AI24" s="33"/>
      <c r="AJ24" s="36"/>
      <c r="AK24" s="89"/>
      <c r="AL24" s="106"/>
      <c r="AM24" s="33"/>
      <c r="AN24" s="36"/>
      <c r="AO24" s="89"/>
      <c r="AP24" s="106"/>
      <c r="AQ24" s="33"/>
      <c r="AR24" s="36"/>
      <c r="AS24" s="89"/>
      <c r="AT24" s="37">
        <f t="shared" si="0"/>
        <v>2</v>
      </c>
      <c r="AU24" s="201">
        <f t="shared" si="1"/>
        <v>2</v>
      </c>
    </row>
    <row r="25" spans="2:47" s="26" customFormat="1" ht="24" x14ac:dyDescent="0.25">
      <c r="B25" s="195">
        <v>10</v>
      </c>
      <c r="C25" s="195" t="s">
        <v>39</v>
      </c>
      <c r="D25" s="202">
        <v>30488457</v>
      </c>
      <c r="E25" s="203" t="s">
        <v>797</v>
      </c>
      <c r="F25" s="198" t="s">
        <v>147</v>
      </c>
      <c r="G25" s="36" t="s">
        <v>785</v>
      </c>
      <c r="H25" s="30" t="s">
        <v>786</v>
      </c>
      <c r="I25" s="199" t="s">
        <v>57</v>
      </c>
      <c r="J25" s="31">
        <v>783062</v>
      </c>
      <c r="K25" s="31">
        <v>89152</v>
      </c>
      <c r="L25" s="31">
        <v>4</v>
      </c>
      <c r="M25" s="31">
        <v>0</v>
      </c>
      <c r="N25" s="200">
        <v>0</v>
      </c>
      <c r="O25" s="200">
        <v>0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2"/>
        <v>0</v>
      </c>
      <c r="Z25" s="106">
        <v>693906</v>
      </c>
      <c r="AA25" s="33">
        <v>5</v>
      </c>
      <c r="AB25" s="41">
        <v>44229</v>
      </c>
      <c r="AC25" s="41">
        <v>44246</v>
      </c>
      <c r="AD25" s="106"/>
      <c r="AE25" s="35"/>
      <c r="AF25" s="36"/>
      <c r="AG25" s="89"/>
      <c r="AH25" s="106"/>
      <c r="AI25" s="33"/>
      <c r="AJ25" s="36"/>
      <c r="AK25" s="89"/>
      <c r="AL25" s="106"/>
      <c r="AM25" s="33"/>
      <c r="AN25" s="36"/>
      <c r="AO25" s="89"/>
      <c r="AP25" s="106"/>
      <c r="AQ25" s="33"/>
      <c r="AR25" s="36"/>
      <c r="AS25" s="89"/>
      <c r="AT25" s="37">
        <f t="shared" si="0"/>
        <v>693906</v>
      </c>
      <c r="AU25" s="201">
        <f t="shared" si="1"/>
        <v>693906</v>
      </c>
    </row>
    <row r="26" spans="2:47" s="26" customFormat="1" ht="24" x14ac:dyDescent="0.25">
      <c r="B26" s="195">
        <v>11</v>
      </c>
      <c r="C26" s="195" t="s">
        <v>39</v>
      </c>
      <c r="D26" s="202">
        <v>30121131</v>
      </c>
      <c r="E26" s="203" t="s">
        <v>798</v>
      </c>
      <c r="F26" s="198" t="s">
        <v>193</v>
      </c>
      <c r="G26" s="36" t="s">
        <v>785</v>
      </c>
      <c r="H26" s="30" t="s">
        <v>786</v>
      </c>
      <c r="I26" s="199" t="s">
        <v>57</v>
      </c>
      <c r="J26" s="31">
        <v>156723</v>
      </c>
      <c r="K26" s="31">
        <v>67243</v>
      </c>
      <c r="L26" s="31">
        <v>0</v>
      </c>
      <c r="M26" s="31">
        <v>0</v>
      </c>
      <c r="N26" s="200">
        <v>0</v>
      </c>
      <c r="O26" s="200">
        <v>12240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2"/>
        <v>12240</v>
      </c>
      <c r="Z26" s="106">
        <v>89064</v>
      </c>
      <c r="AA26" s="33">
        <v>5</v>
      </c>
      <c r="AB26" s="41">
        <v>44229</v>
      </c>
      <c r="AC26" s="41">
        <v>44246</v>
      </c>
      <c r="AD26" s="106"/>
      <c r="AE26" s="35"/>
      <c r="AF26" s="36"/>
      <c r="AG26" s="89"/>
      <c r="AH26" s="106"/>
      <c r="AI26" s="33"/>
      <c r="AJ26" s="36"/>
      <c r="AK26" s="89"/>
      <c r="AL26" s="106"/>
      <c r="AM26" s="33"/>
      <c r="AN26" s="36"/>
      <c r="AO26" s="89"/>
      <c r="AP26" s="106"/>
      <c r="AQ26" s="33"/>
      <c r="AR26" s="36"/>
      <c r="AS26" s="89"/>
      <c r="AT26" s="37">
        <f t="shared" si="0"/>
        <v>89064</v>
      </c>
      <c r="AU26" s="201">
        <f t="shared" si="1"/>
        <v>76824</v>
      </c>
    </row>
    <row r="27" spans="2:47" s="26" customFormat="1" ht="24" x14ac:dyDescent="0.25">
      <c r="B27" s="195">
        <v>12</v>
      </c>
      <c r="C27" s="195" t="s">
        <v>39</v>
      </c>
      <c r="D27" s="202">
        <v>30476597</v>
      </c>
      <c r="E27" s="203" t="s">
        <v>799</v>
      </c>
      <c r="F27" s="198" t="s">
        <v>193</v>
      </c>
      <c r="G27" s="36" t="s">
        <v>785</v>
      </c>
      <c r="H27" s="30" t="s">
        <v>93</v>
      </c>
      <c r="I27" s="199" t="s">
        <v>57</v>
      </c>
      <c r="J27" s="31">
        <v>132193</v>
      </c>
      <c r="K27" s="31">
        <v>98193</v>
      </c>
      <c r="L27" s="31">
        <v>0</v>
      </c>
      <c r="M27" s="31">
        <v>0</v>
      </c>
      <c r="N27" s="200">
        <v>0</v>
      </c>
      <c r="O27" s="200">
        <v>0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2"/>
        <v>0</v>
      </c>
      <c r="Z27" s="106">
        <v>26472</v>
      </c>
      <c r="AA27" s="33">
        <v>5</v>
      </c>
      <c r="AB27" s="41">
        <v>44229</v>
      </c>
      <c r="AC27" s="41">
        <v>44246</v>
      </c>
      <c r="AD27" s="106"/>
      <c r="AE27" s="35"/>
      <c r="AF27" s="36"/>
      <c r="AG27" s="89"/>
      <c r="AH27" s="106"/>
      <c r="AI27" s="33"/>
      <c r="AJ27" s="36"/>
      <c r="AK27" s="89"/>
      <c r="AL27" s="106"/>
      <c r="AM27" s="33"/>
      <c r="AN27" s="36"/>
      <c r="AO27" s="89"/>
      <c r="AP27" s="106"/>
      <c r="AQ27" s="33"/>
      <c r="AR27" s="36"/>
      <c r="AS27" s="89"/>
      <c r="AT27" s="37">
        <f t="shared" si="0"/>
        <v>26472</v>
      </c>
      <c r="AU27" s="201">
        <f t="shared" si="1"/>
        <v>26472</v>
      </c>
    </row>
    <row r="28" spans="2:47" s="26" customFormat="1" ht="23.25" customHeight="1" x14ac:dyDescent="0.25">
      <c r="B28" s="195">
        <v>13</v>
      </c>
      <c r="C28" s="195" t="s">
        <v>39</v>
      </c>
      <c r="D28" s="202">
        <v>30407383</v>
      </c>
      <c r="E28" s="203" t="s">
        <v>800</v>
      </c>
      <c r="F28" s="198" t="s">
        <v>147</v>
      </c>
      <c r="G28" s="36" t="s">
        <v>785</v>
      </c>
      <c r="H28" s="30" t="s">
        <v>93</v>
      </c>
      <c r="I28" s="199" t="s">
        <v>57</v>
      </c>
      <c r="J28" s="31">
        <v>1245553</v>
      </c>
      <c r="K28" s="31">
        <v>280624</v>
      </c>
      <c r="L28" s="31">
        <v>2</v>
      </c>
      <c r="M28" s="31">
        <v>0</v>
      </c>
      <c r="N28" s="200">
        <v>50012</v>
      </c>
      <c r="O28" s="200">
        <v>0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2"/>
        <v>50012</v>
      </c>
      <c r="Z28" s="106">
        <v>862079</v>
      </c>
      <c r="AA28" s="33">
        <v>5</v>
      </c>
      <c r="AB28" s="41">
        <v>44229</v>
      </c>
      <c r="AC28" s="41">
        <v>44246</v>
      </c>
      <c r="AD28" s="106">
        <v>-5159</v>
      </c>
      <c r="AE28" s="35">
        <v>13</v>
      </c>
      <c r="AF28" s="41">
        <v>44259</v>
      </c>
      <c r="AG28" s="41">
        <v>44285</v>
      </c>
      <c r="AH28" s="106"/>
      <c r="AI28" s="33"/>
      <c r="AJ28" s="36"/>
      <c r="AK28" s="89"/>
      <c r="AL28" s="106"/>
      <c r="AM28" s="33"/>
      <c r="AN28" s="36"/>
      <c r="AO28" s="89"/>
      <c r="AP28" s="106"/>
      <c r="AQ28" s="33"/>
      <c r="AR28" s="36"/>
      <c r="AS28" s="89"/>
      <c r="AT28" s="37">
        <f t="shared" si="0"/>
        <v>856920</v>
      </c>
      <c r="AU28" s="201">
        <f t="shared" si="1"/>
        <v>806908</v>
      </c>
    </row>
    <row r="29" spans="2:47" s="26" customFormat="1" ht="24" x14ac:dyDescent="0.25">
      <c r="B29" s="195">
        <v>14</v>
      </c>
      <c r="C29" s="195" t="s">
        <v>39</v>
      </c>
      <c r="D29" s="202">
        <v>40003275</v>
      </c>
      <c r="E29" s="203" t="s">
        <v>801</v>
      </c>
      <c r="F29" s="198" t="s">
        <v>193</v>
      </c>
      <c r="G29" s="36" t="s">
        <v>785</v>
      </c>
      <c r="H29" s="30" t="s">
        <v>93</v>
      </c>
      <c r="I29" s="199" t="s">
        <v>57</v>
      </c>
      <c r="J29" s="31">
        <v>1643583</v>
      </c>
      <c r="K29" s="31">
        <v>1549964</v>
      </c>
      <c r="L29" s="31">
        <v>62</v>
      </c>
      <c r="M29" s="31">
        <v>0</v>
      </c>
      <c r="N29" s="200">
        <v>4000</v>
      </c>
      <c r="O29" s="200">
        <v>2000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2"/>
        <v>6000</v>
      </c>
      <c r="Z29" s="106">
        <v>78155</v>
      </c>
      <c r="AA29" s="33">
        <v>5</v>
      </c>
      <c r="AB29" s="41">
        <v>44229</v>
      </c>
      <c r="AC29" s="41">
        <v>44246</v>
      </c>
      <c r="AD29" s="106"/>
      <c r="AE29" s="35"/>
      <c r="AF29" s="36"/>
      <c r="AG29" s="89"/>
      <c r="AH29" s="106"/>
      <c r="AI29" s="33"/>
      <c r="AJ29" s="36"/>
      <c r="AK29" s="89"/>
      <c r="AL29" s="106"/>
      <c r="AM29" s="33"/>
      <c r="AN29" s="36"/>
      <c r="AO29" s="89"/>
      <c r="AP29" s="106"/>
      <c r="AQ29" s="33"/>
      <c r="AR29" s="36"/>
      <c r="AS29" s="89"/>
      <c r="AT29" s="37">
        <f t="shared" si="0"/>
        <v>78155</v>
      </c>
      <c r="AU29" s="201">
        <f t="shared" si="1"/>
        <v>72155</v>
      </c>
    </row>
    <row r="30" spans="2:47" s="26" customFormat="1" ht="24" x14ac:dyDescent="0.25">
      <c r="B30" s="195">
        <v>15</v>
      </c>
      <c r="C30" s="195" t="s">
        <v>39</v>
      </c>
      <c r="D30" s="205">
        <v>40003160</v>
      </c>
      <c r="E30" s="203" t="s">
        <v>802</v>
      </c>
      <c r="F30" s="198" t="s">
        <v>193</v>
      </c>
      <c r="G30" s="36" t="s">
        <v>785</v>
      </c>
      <c r="H30" s="30" t="s">
        <v>93</v>
      </c>
      <c r="I30" s="199" t="s">
        <v>57</v>
      </c>
      <c r="J30" s="31">
        <v>448514</v>
      </c>
      <c r="K30" s="31">
        <v>194412</v>
      </c>
      <c r="L30" s="31">
        <v>0</v>
      </c>
      <c r="M30" s="31">
        <v>0</v>
      </c>
      <c r="N30" s="200">
        <v>0</v>
      </c>
      <c r="O30" s="200">
        <v>0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2"/>
        <v>0</v>
      </c>
      <c r="Z30" s="106">
        <v>124255</v>
      </c>
      <c r="AA30" s="33">
        <v>5</v>
      </c>
      <c r="AB30" s="41">
        <v>44229</v>
      </c>
      <c r="AC30" s="41">
        <v>44246</v>
      </c>
      <c r="AD30" s="106">
        <v>-41418</v>
      </c>
      <c r="AE30" s="35">
        <v>10</v>
      </c>
      <c r="AF30" s="41">
        <v>44239</v>
      </c>
      <c r="AG30" s="41">
        <v>44259</v>
      </c>
      <c r="AH30" s="106"/>
      <c r="AI30" s="33"/>
      <c r="AJ30" s="36"/>
      <c r="AK30" s="89"/>
      <c r="AL30" s="106"/>
      <c r="AM30" s="33"/>
      <c r="AN30" s="36"/>
      <c r="AO30" s="89"/>
      <c r="AP30" s="106"/>
      <c r="AQ30" s="33"/>
      <c r="AR30" s="36"/>
      <c r="AS30" s="89"/>
      <c r="AT30" s="37">
        <f t="shared" si="0"/>
        <v>82837</v>
      </c>
      <c r="AU30" s="201">
        <f t="shared" si="1"/>
        <v>82837</v>
      </c>
    </row>
    <row r="31" spans="2:47" s="26" customFormat="1" ht="24" x14ac:dyDescent="0.25">
      <c r="B31" s="195">
        <v>16</v>
      </c>
      <c r="C31" s="195" t="s">
        <v>39</v>
      </c>
      <c r="D31" s="202">
        <v>40000942</v>
      </c>
      <c r="E31" s="203" t="s">
        <v>803</v>
      </c>
      <c r="F31" s="198" t="s">
        <v>147</v>
      </c>
      <c r="G31" s="36" t="s">
        <v>785</v>
      </c>
      <c r="H31" s="30" t="s">
        <v>792</v>
      </c>
      <c r="I31" s="199" t="s">
        <v>57</v>
      </c>
      <c r="J31" s="31">
        <v>4031602</v>
      </c>
      <c r="K31" s="31">
        <v>53506</v>
      </c>
      <c r="L31" s="31">
        <v>331298</v>
      </c>
      <c r="M31" s="31">
        <v>0</v>
      </c>
      <c r="N31" s="200">
        <v>0</v>
      </c>
      <c r="O31" s="200">
        <v>0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2"/>
        <v>0</v>
      </c>
      <c r="Z31" s="106">
        <v>3564105</v>
      </c>
      <c r="AA31" s="33">
        <v>5</v>
      </c>
      <c r="AB31" s="41">
        <v>44229</v>
      </c>
      <c r="AC31" s="41">
        <v>44246</v>
      </c>
      <c r="AD31" s="106">
        <v>-593360</v>
      </c>
      <c r="AE31" s="35">
        <v>7</v>
      </c>
      <c r="AF31" s="41">
        <v>44229</v>
      </c>
      <c r="AG31" s="41">
        <v>44250</v>
      </c>
      <c r="AH31" s="106">
        <v>-246018</v>
      </c>
      <c r="AI31" s="33">
        <v>10</v>
      </c>
      <c r="AJ31" s="41">
        <v>44239</v>
      </c>
      <c r="AK31" s="41">
        <v>44259</v>
      </c>
      <c r="AL31" s="106">
        <v>-70286</v>
      </c>
      <c r="AM31" s="35">
        <v>13</v>
      </c>
      <c r="AN31" s="41">
        <v>44259</v>
      </c>
      <c r="AO31" s="41">
        <v>44285</v>
      </c>
      <c r="AP31" s="106"/>
      <c r="AQ31" s="33"/>
      <c r="AR31" s="36"/>
      <c r="AS31" s="89"/>
      <c r="AT31" s="37">
        <f t="shared" si="0"/>
        <v>2654441</v>
      </c>
      <c r="AU31" s="201">
        <f t="shared" si="1"/>
        <v>2654441</v>
      </c>
    </row>
    <row r="32" spans="2:47" s="26" customFormat="1" ht="24" x14ac:dyDescent="0.25">
      <c r="B32" s="195">
        <v>17</v>
      </c>
      <c r="C32" s="195" t="s">
        <v>39</v>
      </c>
      <c r="D32" s="202">
        <v>30130917</v>
      </c>
      <c r="E32" s="203" t="s">
        <v>804</v>
      </c>
      <c r="F32" s="198" t="s">
        <v>147</v>
      </c>
      <c r="G32" s="36" t="s">
        <v>785</v>
      </c>
      <c r="H32" s="30" t="s">
        <v>786</v>
      </c>
      <c r="I32" s="199" t="s">
        <v>57</v>
      </c>
      <c r="J32" s="31">
        <v>1761637</v>
      </c>
      <c r="K32" s="31">
        <v>36657</v>
      </c>
      <c r="L32" s="31">
        <v>976706</v>
      </c>
      <c r="M32" s="31">
        <v>0</v>
      </c>
      <c r="N32" s="200">
        <v>0</v>
      </c>
      <c r="O32" s="200">
        <v>0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2"/>
        <v>0</v>
      </c>
      <c r="Z32" s="106">
        <v>732786</v>
      </c>
      <c r="AA32" s="33">
        <v>5</v>
      </c>
      <c r="AB32" s="41">
        <v>44229</v>
      </c>
      <c r="AC32" s="41">
        <v>44246</v>
      </c>
      <c r="AD32" s="106">
        <v>-5612</v>
      </c>
      <c r="AE32" s="33">
        <v>6</v>
      </c>
      <c r="AF32" s="41">
        <v>44229</v>
      </c>
      <c r="AG32" s="41">
        <v>44250</v>
      </c>
      <c r="AH32" s="106">
        <v>-540437</v>
      </c>
      <c r="AI32" s="35">
        <v>7</v>
      </c>
      <c r="AJ32" s="41">
        <v>44229</v>
      </c>
      <c r="AK32" s="41">
        <v>44250</v>
      </c>
      <c r="AL32" s="106"/>
      <c r="AM32" s="33"/>
      <c r="AN32" s="36"/>
      <c r="AO32" s="89"/>
      <c r="AP32" s="106"/>
      <c r="AQ32" s="33"/>
      <c r="AR32" s="36"/>
      <c r="AS32" s="89"/>
      <c r="AT32" s="37">
        <f t="shared" si="0"/>
        <v>186737</v>
      </c>
      <c r="AU32" s="201">
        <f t="shared" si="1"/>
        <v>186737</v>
      </c>
    </row>
    <row r="33" spans="2:47" s="26" customFormat="1" ht="24" x14ac:dyDescent="0.25">
      <c r="B33" s="195">
        <v>18</v>
      </c>
      <c r="C33" s="195" t="s">
        <v>39</v>
      </c>
      <c r="D33" s="202">
        <v>40000964</v>
      </c>
      <c r="E33" s="203" t="s">
        <v>805</v>
      </c>
      <c r="F33" s="198" t="s">
        <v>147</v>
      </c>
      <c r="G33" s="36" t="s">
        <v>785</v>
      </c>
      <c r="H33" s="30" t="s">
        <v>792</v>
      </c>
      <c r="I33" s="199" t="s">
        <v>72</v>
      </c>
      <c r="J33" s="31">
        <v>902226</v>
      </c>
      <c r="K33" s="31">
        <v>0</v>
      </c>
      <c r="L33" s="31">
        <v>450089</v>
      </c>
      <c r="M33" s="31">
        <v>0</v>
      </c>
      <c r="N33" s="200">
        <v>0</v>
      </c>
      <c r="O33" s="200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2"/>
        <v>0</v>
      </c>
      <c r="Z33" s="106">
        <v>238001</v>
      </c>
      <c r="AA33" s="33">
        <v>5</v>
      </c>
      <c r="AB33" s="41">
        <v>44229</v>
      </c>
      <c r="AC33" s="41">
        <v>44246</v>
      </c>
      <c r="AD33" s="106"/>
      <c r="AE33" s="35"/>
      <c r="AF33" s="36"/>
      <c r="AG33" s="89"/>
      <c r="AH33" s="106"/>
      <c r="AI33" s="33"/>
      <c r="AJ33" s="36"/>
      <c r="AK33" s="89"/>
      <c r="AL33" s="106"/>
      <c r="AM33" s="33"/>
      <c r="AN33" s="36"/>
      <c r="AO33" s="89"/>
      <c r="AP33" s="106"/>
      <c r="AQ33" s="33"/>
      <c r="AR33" s="36"/>
      <c r="AS33" s="89"/>
      <c r="AT33" s="37">
        <f t="shared" si="0"/>
        <v>238001</v>
      </c>
      <c r="AU33" s="201">
        <f t="shared" si="1"/>
        <v>238001</v>
      </c>
    </row>
    <row r="34" spans="2:47" s="26" customFormat="1" ht="24" x14ac:dyDescent="0.25">
      <c r="B34" s="195">
        <v>19</v>
      </c>
      <c r="C34" s="195" t="s">
        <v>39</v>
      </c>
      <c r="D34" s="202">
        <v>30483228</v>
      </c>
      <c r="E34" s="203" t="s">
        <v>806</v>
      </c>
      <c r="F34" s="198" t="s">
        <v>147</v>
      </c>
      <c r="G34" s="36" t="s">
        <v>785</v>
      </c>
      <c r="H34" s="30" t="s">
        <v>807</v>
      </c>
      <c r="I34" s="199" t="s">
        <v>57</v>
      </c>
      <c r="J34" s="31">
        <v>8266860</v>
      </c>
      <c r="K34" s="31">
        <v>8206682</v>
      </c>
      <c r="L34" s="31">
        <v>0</v>
      </c>
      <c r="M34" s="31">
        <v>0</v>
      </c>
      <c r="N34" s="200">
        <v>3900</v>
      </c>
      <c r="O34" s="200">
        <v>4061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2"/>
        <v>7961</v>
      </c>
      <c r="Z34" s="106">
        <v>58256</v>
      </c>
      <c r="AA34" s="33">
        <v>5</v>
      </c>
      <c r="AB34" s="41">
        <v>44229</v>
      </c>
      <c r="AC34" s="41">
        <v>44246</v>
      </c>
      <c r="AD34" s="106"/>
      <c r="AE34" s="35"/>
      <c r="AF34" s="36"/>
      <c r="AG34" s="89"/>
      <c r="AH34" s="106"/>
      <c r="AI34" s="33"/>
      <c r="AJ34" s="36"/>
      <c r="AK34" s="89"/>
      <c r="AL34" s="106"/>
      <c r="AM34" s="33"/>
      <c r="AN34" s="36"/>
      <c r="AO34" s="89"/>
      <c r="AP34" s="106"/>
      <c r="AQ34" s="33"/>
      <c r="AR34" s="36"/>
      <c r="AS34" s="89"/>
      <c r="AT34" s="37">
        <f t="shared" si="0"/>
        <v>58256</v>
      </c>
      <c r="AU34" s="201">
        <f t="shared" si="1"/>
        <v>50295</v>
      </c>
    </row>
    <row r="35" spans="2:47" s="26" customFormat="1" ht="24" x14ac:dyDescent="0.25">
      <c r="B35" s="195">
        <v>20</v>
      </c>
      <c r="C35" s="195" t="s">
        <v>39</v>
      </c>
      <c r="D35" s="202">
        <v>40002657</v>
      </c>
      <c r="E35" s="203" t="s">
        <v>808</v>
      </c>
      <c r="F35" s="198" t="s">
        <v>147</v>
      </c>
      <c r="G35" s="36" t="s">
        <v>785</v>
      </c>
      <c r="H35" s="30" t="s">
        <v>786</v>
      </c>
      <c r="I35" s="199" t="s">
        <v>57</v>
      </c>
      <c r="J35" s="31">
        <v>978801</v>
      </c>
      <c r="K35" s="31">
        <v>438807</v>
      </c>
      <c r="L35" s="31">
        <v>4943</v>
      </c>
      <c r="M35" s="31">
        <v>0</v>
      </c>
      <c r="N35" s="200">
        <v>93132</v>
      </c>
      <c r="O35" s="200">
        <v>89297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2"/>
        <v>182429</v>
      </c>
      <c r="Z35" s="106">
        <v>505989</v>
      </c>
      <c r="AA35" s="33">
        <v>5</v>
      </c>
      <c r="AB35" s="41">
        <v>44229</v>
      </c>
      <c r="AC35" s="41">
        <v>44246</v>
      </c>
      <c r="AD35" s="106"/>
      <c r="AE35" s="35"/>
      <c r="AF35" s="36"/>
      <c r="AG35" s="89"/>
      <c r="AH35" s="106"/>
      <c r="AI35" s="33"/>
      <c r="AJ35" s="36"/>
      <c r="AK35" s="89"/>
      <c r="AL35" s="106"/>
      <c r="AM35" s="33"/>
      <c r="AN35" s="36"/>
      <c r="AO35" s="89"/>
      <c r="AP35" s="106"/>
      <c r="AQ35" s="33"/>
      <c r="AR35" s="36"/>
      <c r="AS35" s="89"/>
      <c r="AT35" s="37">
        <f t="shared" si="0"/>
        <v>505989</v>
      </c>
      <c r="AU35" s="201">
        <f t="shared" si="1"/>
        <v>323560</v>
      </c>
    </row>
    <row r="36" spans="2:47" s="26" customFormat="1" ht="24" x14ac:dyDescent="0.25">
      <c r="B36" s="195">
        <v>21</v>
      </c>
      <c r="C36" s="195" t="s">
        <v>39</v>
      </c>
      <c r="D36" s="202">
        <v>30110277</v>
      </c>
      <c r="E36" s="203" t="s">
        <v>809</v>
      </c>
      <c r="F36" s="198" t="s">
        <v>147</v>
      </c>
      <c r="G36" s="36" t="s">
        <v>785</v>
      </c>
      <c r="H36" s="30" t="s">
        <v>789</v>
      </c>
      <c r="I36" s="199" t="s">
        <v>57</v>
      </c>
      <c r="J36" s="31">
        <v>1159493</v>
      </c>
      <c r="K36" s="31">
        <v>209957</v>
      </c>
      <c r="L36" s="31">
        <v>0</v>
      </c>
      <c r="M36" s="31">
        <v>0</v>
      </c>
      <c r="N36" s="200">
        <v>116583</v>
      </c>
      <c r="O36" s="200">
        <v>23550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2"/>
        <v>140133</v>
      </c>
      <c r="Z36" s="106">
        <v>949536</v>
      </c>
      <c r="AA36" s="33">
        <v>5</v>
      </c>
      <c r="AB36" s="41">
        <v>44229</v>
      </c>
      <c r="AC36" s="41">
        <v>44246</v>
      </c>
      <c r="AD36" s="106">
        <v>-84655</v>
      </c>
      <c r="AE36" s="35">
        <v>13</v>
      </c>
      <c r="AF36" s="41">
        <v>44259</v>
      </c>
      <c r="AG36" s="41">
        <v>44285</v>
      </c>
      <c r="AH36" s="106"/>
      <c r="AI36" s="33"/>
      <c r="AJ36" s="36"/>
      <c r="AK36" s="89"/>
      <c r="AL36" s="106"/>
      <c r="AM36" s="33"/>
      <c r="AN36" s="36"/>
      <c r="AO36" s="89"/>
      <c r="AP36" s="106"/>
      <c r="AQ36" s="33"/>
      <c r="AR36" s="36"/>
      <c r="AS36" s="89"/>
      <c r="AT36" s="37">
        <f t="shared" si="0"/>
        <v>864881</v>
      </c>
      <c r="AU36" s="201">
        <f t="shared" si="1"/>
        <v>724748</v>
      </c>
    </row>
    <row r="37" spans="2:47" s="26" customFormat="1" ht="24" x14ac:dyDescent="0.25">
      <c r="B37" s="195">
        <v>22</v>
      </c>
      <c r="C37" s="195" t="s">
        <v>39</v>
      </c>
      <c r="D37" s="202">
        <v>30108640</v>
      </c>
      <c r="E37" s="203" t="s">
        <v>810</v>
      </c>
      <c r="F37" s="198" t="s">
        <v>147</v>
      </c>
      <c r="G37" s="36" t="s">
        <v>785</v>
      </c>
      <c r="H37" s="30" t="s">
        <v>811</v>
      </c>
      <c r="I37" s="199" t="s">
        <v>57</v>
      </c>
      <c r="J37" s="31">
        <v>735383</v>
      </c>
      <c r="K37" s="31">
        <v>33637</v>
      </c>
      <c r="L37" s="31">
        <v>2</v>
      </c>
      <c r="M37" s="31">
        <v>0</v>
      </c>
      <c r="N37" s="200">
        <v>56082</v>
      </c>
      <c r="O37" s="200">
        <v>47762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2"/>
        <v>103844</v>
      </c>
      <c r="Z37" s="106">
        <v>701683</v>
      </c>
      <c r="AA37" s="33">
        <v>5</v>
      </c>
      <c r="AB37" s="41">
        <v>44229</v>
      </c>
      <c r="AC37" s="41">
        <v>44246</v>
      </c>
      <c r="AD37" s="106">
        <v>3</v>
      </c>
      <c r="AE37" s="35">
        <v>13</v>
      </c>
      <c r="AF37" s="41">
        <v>44259</v>
      </c>
      <c r="AG37" s="41">
        <v>44285</v>
      </c>
      <c r="AH37" s="106">
        <v>-32356</v>
      </c>
      <c r="AI37" s="35">
        <v>13</v>
      </c>
      <c r="AJ37" s="41">
        <v>44259</v>
      </c>
      <c r="AK37" s="41">
        <v>44285</v>
      </c>
      <c r="AL37" s="106"/>
      <c r="AM37" s="33"/>
      <c r="AN37" s="36"/>
      <c r="AO37" s="89"/>
      <c r="AP37" s="106"/>
      <c r="AQ37" s="33"/>
      <c r="AR37" s="36"/>
      <c r="AS37" s="89"/>
      <c r="AT37" s="37">
        <f t="shared" si="0"/>
        <v>669330</v>
      </c>
      <c r="AU37" s="201">
        <f t="shared" si="1"/>
        <v>565486</v>
      </c>
    </row>
    <row r="38" spans="2:47" s="26" customFormat="1" ht="24" x14ac:dyDescent="0.25">
      <c r="B38" s="195">
        <v>23</v>
      </c>
      <c r="C38" s="195" t="s">
        <v>39</v>
      </c>
      <c r="D38" s="202">
        <v>30369324</v>
      </c>
      <c r="E38" s="203" t="s">
        <v>812</v>
      </c>
      <c r="F38" s="198" t="s">
        <v>147</v>
      </c>
      <c r="G38" s="36" t="s">
        <v>785</v>
      </c>
      <c r="H38" s="30" t="s">
        <v>792</v>
      </c>
      <c r="I38" s="199" t="s">
        <v>57</v>
      </c>
      <c r="J38" s="31">
        <v>1982071</v>
      </c>
      <c r="K38" s="31">
        <v>8460</v>
      </c>
      <c r="L38" s="31">
        <v>0</v>
      </c>
      <c r="M38" s="31">
        <v>0</v>
      </c>
      <c r="N38" s="200">
        <v>3585</v>
      </c>
      <c r="O38" s="200">
        <v>1793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2"/>
        <v>5378</v>
      </c>
      <c r="Z38" s="106">
        <v>1928131</v>
      </c>
      <c r="AA38" s="33">
        <v>5</v>
      </c>
      <c r="AB38" s="41">
        <v>44229</v>
      </c>
      <c r="AC38" s="41">
        <v>44246</v>
      </c>
      <c r="AD38" s="106">
        <v>-626626</v>
      </c>
      <c r="AE38" s="35">
        <v>7</v>
      </c>
      <c r="AF38" s="41">
        <v>44229</v>
      </c>
      <c r="AG38" s="41">
        <v>44250</v>
      </c>
      <c r="AH38" s="106"/>
      <c r="AI38" s="33"/>
      <c r="AJ38" s="36"/>
      <c r="AK38" s="89"/>
      <c r="AL38" s="106"/>
      <c r="AM38" s="33"/>
      <c r="AN38" s="36"/>
      <c r="AO38" s="89"/>
      <c r="AP38" s="106"/>
      <c r="AQ38" s="33"/>
      <c r="AR38" s="36"/>
      <c r="AS38" s="89"/>
      <c r="AT38" s="37">
        <f t="shared" si="0"/>
        <v>1301505</v>
      </c>
      <c r="AU38" s="201">
        <f t="shared" si="1"/>
        <v>1296127</v>
      </c>
    </row>
    <row r="39" spans="2:47" s="26" customFormat="1" ht="24" x14ac:dyDescent="0.25">
      <c r="B39" s="195">
        <v>24</v>
      </c>
      <c r="C39" s="195" t="s">
        <v>39</v>
      </c>
      <c r="D39" s="202">
        <v>40008899</v>
      </c>
      <c r="E39" s="203" t="s">
        <v>813</v>
      </c>
      <c r="F39" s="198" t="s">
        <v>147</v>
      </c>
      <c r="G39" s="36" t="s">
        <v>785</v>
      </c>
      <c r="H39" s="30" t="s">
        <v>792</v>
      </c>
      <c r="I39" s="199" t="s">
        <v>72</v>
      </c>
      <c r="J39" s="31">
        <v>174445</v>
      </c>
      <c r="K39" s="31">
        <v>0</v>
      </c>
      <c r="L39" s="31">
        <v>0</v>
      </c>
      <c r="M39" s="31">
        <v>0</v>
      </c>
      <c r="N39" s="200">
        <v>0</v>
      </c>
      <c r="O39" s="200">
        <v>3616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2"/>
        <v>3616</v>
      </c>
      <c r="Z39" s="106">
        <v>168027</v>
      </c>
      <c r="AA39" s="33">
        <v>5</v>
      </c>
      <c r="AB39" s="41">
        <v>44229</v>
      </c>
      <c r="AC39" s="41">
        <v>44246</v>
      </c>
      <c r="AD39" s="106"/>
      <c r="AE39" s="35"/>
      <c r="AF39" s="36"/>
      <c r="AG39" s="89"/>
      <c r="AH39" s="106"/>
      <c r="AI39" s="33"/>
      <c r="AJ39" s="36"/>
      <c r="AK39" s="89"/>
      <c r="AL39" s="106"/>
      <c r="AM39" s="33"/>
      <c r="AN39" s="36"/>
      <c r="AO39" s="89"/>
      <c r="AP39" s="106"/>
      <c r="AQ39" s="33"/>
      <c r="AR39" s="36"/>
      <c r="AS39" s="89"/>
      <c r="AT39" s="37">
        <f t="shared" si="0"/>
        <v>168027</v>
      </c>
      <c r="AU39" s="201">
        <f t="shared" si="1"/>
        <v>164411</v>
      </c>
    </row>
    <row r="40" spans="2:47" s="26" customFormat="1" ht="24" x14ac:dyDescent="0.25">
      <c r="B40" s="195">
        <v>25</v>
      </c>
      <c r="C40" s="195" t="s">
        <v>39</v>
      </c>
      <c r="D40" s="202">
        <v>40007181</v>
      </c>
      <c r="E40" s="203" t="s">
        <v>814</v>
      </c>
      <c r="F40" s="198" t="s">
        <v>193</v>
      </c>
      <c r="G40" s="36" t="s">
        <v>785</v>
      </c>
      <c r="H40" s="30" t="s">
        <v>93</v>
      </c>
      <c r="I40" s="199" t="s">
        <v>57</v>
      </c>
      <c r="J40" s="31">
        <v>374781</v>
      </c>
      <c r="K40" s="31">
        <v>37772</v>
      </c>
      <c r="L40" s="31">
        <v>0</v>
      </c>
      <c r="M40" s="31">
        <v>0</v>
      </c>
      <c r="N40" s="200">
        <v>0</v>
      </c>
      <c r="O40" s="200"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2"/>
        <v>0</v>
      </c>
      <c r="Z40" s="106">
        <v>240000</v>
      </c>
      <c r="AA40" s="33">
        <v>5</v>
      </c>
      <c r="AB40" s="41">
        <v>44229</v>
      </c>
      <c r="AC40" s="41">
        <v>44246</v>
      </c>
      <c r="AD40" s="106">
        <v>-110766</v>
      </c>
      <c r="AE40" s="35">
        <v>7</v>
      </c>
      <c r="AF40" s="41">
        <v>44229</v>
      </c>
      <c r="AG40" s="41">
        <v>44250</v>
      </c>
      <c r="AH40" s="106"/>
      <c r="AI40" s="33"/>
      <c r="AJ40" s="36"/>
      <c r="AK40" s="89"/>
      <c r="AL40" s="106"/>
      <c r="AM40" s="33"/>
      <c r="AN40" s="36"/>
      <c r="AO40" s="89"/>
      <c r="AP40" s="106"/>
      <c r="AQ40" s="33"/>
      <c r="AR40" s="36"/>
      <c r="AS40" s="89"/>
      <c r="AT40" s="37">
        <f t="shared" si="0"/>
        <v>129234</v>
      </c>
      <c r="AU40" s="201">
        <f t="shared" si="1"/>
        <v>129234</v>
      </c>
    </row>
    <row r="41" spans="2:47" s="26" customFormat="1" ht="24" customHeight="1" x14ac:dyDescent="0.25">
      <c r="B41" s="195">
        <v>26</v>
      </c>
      <c r="C41" s="195" t="s">
        <v>39</v>
      </c>
      <c r="D41" s="202">
        <v>30463225</v>
      </c>
      <c r="E41" s="203" t="s">
        <v>815</v>
      </c>
      <c r="F41" s="198" t="s">
        <v>147</v>
      </c>
      <c r="G41" s="36" t="s">
        <v>785</v>
      </c>
      <c r="H41" s="30" t="s">
        <v>93</v>
      </c>
      <c r="I41" s="199" t="s">
        <v>72</v>
      </c>
      <c r="J41" s="31">
        <v>3158120</v>
      </c>
      <c r="K41" s="31">
        <v>0</v>
      </c>
      <c r="L41" s="31">
        <v>0</v>
      </c>
      <c r="M41" s="31">
        <v>0</v>
      </c>
      <c r="N41" s="200">
        <v>0</v>
      </c>
      <c r="O41" s="200">
        <v>0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2"/>
        <v>0</v>
      </c>
      <c r="Z41" s="106">
        <v>631868</v>
      </c>
      <c r="AA41" s="33">
        <v>5</v>
      </c>
      <c r="AB41" s="41">
        <v>44229</v>
      </c>
      <c r="AC41" s="41">
        <v>44246</v>
      </c>
      <c r="AD41" s="106">
        <v>2332460</v>
      </c>
      <c r="AE41" s="35">
        <v>7</v>
      </c>
      <c r="AF41" s="41">
        <v>44229</v>
      </c>
      <c r="AG41" s="41">
        <v>44250</v>
      </c>
      <c r="AH41" s="106"/>
      <c r="AI41" s="33"/>
      <c r="AJ41" s="36"/>
      <c r="AK41" s="89"/>
      <c r="AL41" s="106"/>
      <c r="AM41" s="33"/>
      <c r="AN41" s="36"/>
      <c r="AO41" s="89"/>
      <c r="AP41" s="106"/>
      <c r="AQ41" s="33"/>
      <c r="AR41" s="36"/>
      <c r="AS41" s="89"/>
      <c r="AT41" s="37">
        <f t="shared" si="0"/>
        <v>2964328</v>
      </c>
      <c r="AU41" s="201">
        <f t="shared" si="1"/>
        <v>2964328</v>
      </c>
    </row>
    <row r="42" spans="2:47" s="26" customFormat="1" ht="23.25" customHeight="1" x14ac:dyDescent="0.25">
      <c r="B42" s="195">
        <v>27</v>
      </c>
      <c r="C42" s="195" t="s">
        <v>39</v>
      </c>
      <c r="D42" s="202">
        <v>30110133</v>
      </c>
      <c r="E42" s="203" t="s">
        <v>816</v>
      </c>
      <c r="F42" s="198" t="s">
        <v>147</v>
      </c>
      <c r="G42" s="36" t="s">
        <v>785</v>
      </c>
      <c r="H42" s="30" t="s">
        <v>93</v>
      </c>
      <c r="I42" s="199" t="s">
        <v>72</v>
      </c>
      <c r="J42" s="31">
        <v>3585731</v>
      </c>
      <c r="K42" s="31">
        <v>0</v>
      </c>
      <c r="L42" s="31">
        <v>3039299</v>
      </c>
      <c r="M42" s="31">
        <v>0</v>
      </c>
      <c r="N42" s="200">
        <v>0</v>
      </c>
      <c r="O42" s="200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2"/>
        <v>0</v>
      </c>
      <c r="Z42" s="106">
        <v>250000</v>
      </c>
      <c r="AA42" s="33">
        <v>5</v>
      </c>
      <c r="AB42" s="41">
        <v>44229</v>
      </c>
      <c r="AC42" s="41">
        <v>44246</v>
      </c>
      <c r="AD42" s="106">
        <v>-249999</v>
      </c>
      <c r="AE42" s="35">
        <v>7</v>
      </c>
      <c r="AF42" s="41">
        <v>44229</v>
      </c>
      <c r="AG42" s="41">
        <v>44250</v>
      </c>
      <c r="AH42" s="106"/>
      <c r="AI42" s="33"/>
      <c r="AJ42" s="36"/>
      <c r="AK42" s="89"/>
      <c r="AL42" s="106"/>
      <c r="AM42" s="33"/>
      <c r="AN42" s="36"/>
      <c r="AO42" s="89"/>
      <c r="AP42" s="106"/>
      <c r="AQ42" s="33"/>
      <c r="AR42" s="36"/>
      <c r="AS42" s="89"/>
      <c r="AT42" s="37">
        <f t="shared" si="0"/>
        <v>1</v>
      </c>
      <c r="AU42" s="201">
        <f t="shared" si="1"/>
        <v>1</v>
      </c>
    </row>
    <row r="43" spans="2:47" s="26" customFormat="1" ht="24" x14ac:dyDescent="0.25">
      <c r="B43" s="195">
        <v>28</v>
      </c>
      <c r="C43" s="195" t="s">
        <v>39</v>
      </c>
      <c r="D43" s="202">
        <v>30459123</v>
      </c>
      <c r="E43" s="203" t="s">
        <v>817</v>
      </c>
      <c r="F43" s="198" t="s">
        <v>193</v>
      </c>
      <c r="G43" s="36" t="s">
        <v>785</v>
      </c>
      <c r="H43" s="30" t="s">
        <v>792</v>
      </c>
      <c r="I43" s="199" t="s">
        <v>72</v>
      </c>
      <c r="J43" s="31">
        <v>539089</v>
      </c>
      <c r="K43" s="31">
        <v>0</v>
      </c>
      <c r="L43" s="31">
        <v>0</v>
      </c>
      <c r="M43" s="31">
        <v>0</v>
      </c>
      <c r="N43" s="200">
        <v>3616</v>
      </c>
      <c r="O43" s="200">
        <v>1808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2"/>
        <v>5424</v>
      </c>
      <c r="Z43" s="106">
        <v>420345</v>
      </c>
      <c r="AA43" s="33">
        <v>5</v>
      </c>
      <c r="AB43" s="41">
        <v>44229</v>
      </c>
      <c r="AC43" s="41">
        <v>44246</v>
      </c>
      <c r="AD43" s="106"/>
      <c r="AE43" s="35"/>
      <c r="AF43" s="36"/>
      <c r="AG43" s="89"/>
      <c r="AH43" s="106"/>
      <c r="AI43" s="33"/>
      <c r="AJ43" s="36"/>
      <c r="AK43" s="89"/>
      <c r="AL43" s="106"/>
      <c r="AM43" s="33"/>
      <c r="AN43" s="36"/>
      <c r="AO43" s="89"/>
      <c r="AP43" s="106"/>
      <c r="AQ43" s="33"/>
      <c r="AR43" s="36"/>
      <c r="AS43" s="89"/>
      <c r="AT43" s="37">
        <f t="shared" si="0"/>
        <v>420345</v>
      </c>
      <c r="AU43" s="201">
        <f t="shared" si="1"/>
        <v>414921</v>
      </c>
    </row>
    <row r="44" spans="2:47" s="26" customFormat="1" ht="23.25" customHeight="1" x14ac:dyDescent="0.25">
      <c r="B44" s="195">
        <v>29</v>
      </c>
      <c r="C44" s="195" t="s">
        <v>39</v>
      </c>
      <c r="D44" s="202">
        <v>30463223</v>
      </c>
      <c r="E44" s="203" t="s">
        <v>818</v>
      </c>
      <c r="F44" s="198" t="s">
        <v>147</v>
      </c>
      <c r="G44" s="36" t="s">
        <v>785</v>
      </c>
      <c r="H44" s="30" t="s">
        <v>93</v>
      </c>
      <c r="I44" s="199" t="s">
        <v>57</v>
      </c>
      <c r="J44" s="31">
        <v>51186410</v>
      </c>
      <c r="K44" s="31">
        <v>1831882</v>
      </c>
      <c r="L44" s="31">
        <v>4</v>
      </c>
      <c r="M44" s="31">
        <v>0</v>
      </c>
      <c r="N44" s="200">
        <v>441098</v>
      </c>
      <c r="O44" s="200"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2"/>
        <v>441098</v>
      </c>
      <c r="Z44" s="106">
        <v>2513800</v>
      </c>
      <c r="AA44" s="33">
        <v>5</v>
      </c>
      <c r="AB44" s="41">
        <v>44229</v>
      </c>
      <c r="AC44" s="41">
        <v>44246</v>
      </c>
      <c r="AD44" s="106">
        <v>-915456</v>
      </c>
      <c r="AE44" s="35">
        <v>9</v>
      </c>
      <c r="AF44" s="41">
        <v>44238</v>
      </c>
      <c r="AG44" s="41">
        <v>44259</v>
      </c>
      <c r="AH44" s="106"/>
      <c r="AI44" s="33"/>
      <c r="AJ44" s="36"/>
      <c r="AK44" s="89"/>
      <c r="AL44" s="106"/>
      <c r="AM44" s="33"/>
      <c r="AN44" s="36"/>
      <c r="AO44" s="89"/>
      <c r="AP44" s="106"/>
      <c r="AQ44" s="33"/>
      <c r="AR44" s="36"/>
      <c r="AS44" s="89"/>
      <c r="AT44" s="37">
        <f t="shared" si="0"/>
        <v>1598344</v>
      </c>
      <c r="AU44" s="201">
        <f t="shared" si="1"/>
        <v>1157246</v>
      </c>
    </row>
    <row r="45" spans="2:47" s="26" customFormat="1" ht="24" x14ac:dyDescent="0.25">
      <c r="B45" s="195">
        <v>30</v>
      </c>
      <c r="C45" s="195" t="s">
        <v>39</v>
      </c>
      <c r="D45" s="205">
        <v>30108583</v>
      </c>
      <c r="E45" s="203" t="s">
        <v>819</v>
      </c>
      <c r="F45" s="198" t="s">
        <v>147</v>
      </c>
      <c r="G45" s="36" t="s">
        <v>785</v>
      </c>
      <c r="H45" s="30" t="s">
        <v>786</v>
      </c>
      <c r="I45" s="199" t="s">
        <v>72</v>
      </c>
      <c r="J45" s="31">
        <v>66689</v>
      </c>
      <c r="K45" s="31">
        <v>0</v>
      </c>
      <c r="L45" s="31">
        <v>66689</v>
      </c>
      <c r="M45" s="31">
        <v>0</v>
      </c>
      <c r="N45" s="200">
        <v>0</v>
      </c>
      <c r="O45" s="200">
        <v>0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2"/>
        <v>0</v>
      </c>
      <c r="Z45" s="106">
        <v>500000</v>
      </c>
      <c r="AA45" s="33">
        <v>5</v>
      </c>
      <c r="AB45" s="41">
        <v>44229</v>
      </c>
      <c r="AC45" s="41">
        <v>44246</v>
      </c>
      <c r="AD45" s="106"/>
      <c r="AE45" s="35"/>
      <c r="AF45" s="36"/>
      <c r="AG45" s="89"/>
      <c r="AH45" s="106"/>
      <c r="AI45" s="33"/>
      <c r="AJ45" s="36"/>
      <c r="AK45" s="89"/>
      <c r="AL45" s="106"/>
      <c r="AM45" s="33"/>
      <c r="AN45" s="36"/>
      <c r="AO45" s="89"/>
      <c r="AP45" s="106"/>
      <c r="AQ45" s="33"/>
      <c r="AR45" s="36"/>
      <c r="AS45" s="89"/>
      <c r="AT45" s="37">
        <f t="shared" si="0"/>
        <v>500000</v>
      </c>
      <c r="AU45" s="201">
        <f t="shared" si="1"/>
        <v>500000</v>
      </c>
    </row>
    <row r="46" spans="2:47" s="26" customFormat="1" ht="23.25" customHeight="1" x14ac:dyDescent="0.25">
      <c r="B46" s="195">
        <v>31</v>
      </c>
      <c r="C46" s="195" t="s">
        <v>39</v>
      </c>
      <c r="D46" s="202">
        <v>30433377</v>
      </c>
      <c r="E46" s="203" t="s">
        <v>820</v>
      </c>
      <c r="F46" s="198" t="s">
        <v>147</v>
      </c>
      <c r="G46" s="36" t="s">
        <v>785</v>
      </c>
      <c r="H46" s="30" t="s">
        <v>821</v>
      </c>
      <c r="I46" s="199" t="s">
        <v>72</v>
      </c>
      <c r="J46" s="31">
        <v>427812</v>
      </c>
      <c r="K46" s="31">
        <v>0</v>
      </c>
      <c r="L46" s="31">
        <v>0</v>
      </c>
      <c r="M46" s="31">
        <v>0</v>
      </c>
      <c r="N46" s="200">
        <v>0</v>
      </c>
      <c r="O46" s="200"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2"/>
        <v>0</v>
      </c>
      <c r="Z46" s="106">
        <v>292155</v>
      </c>
      <c r="AA46" s="33">
        <v>5</v>
      </c>
      <c r="AB46" s="41">
        <v>44229</v>
      </c>
      <c r="AC46" s="41">
        <v>44246</v>
      </c>
      <c r="AD46" s="106"/>
      <c r="AE46" s="35"/>
      <c r="AF46" s="36"/>
      <c r="AG46" s="89"/>
      <c r="AH46" s="106"/>
      <c r="AI46" s="33"/>
      <c r="AJ46" s="36"/>
      <c r="AK46" s="89"/>
      <c r="AL46" s="106"/>
      <c r="AM46" s="33"/>
      <c r="AN46" s="36"/>
      <c r="AO46" s="89"/>
      <c r="AP46" s="106"/>
      <c r="AQ46" s="33"/>
      <c r="AR46" s="36"/>
      <c r="AS46" s="89"/>
      <c r="AT46" s="37">
        <f t="shared" si="0"/>
        <v>292155</v>
      </c>
      <c r="AU46" s="201">
        <f t="shared" si="1"/>
        <v>292155</v>
      </c>
    </row>
    <row r="47" spans="2:47" s="26" customFormat="1" ht="24" customHeight="1" x14ac:dyDescent="0.25">
      <c r="B47" s="195">
        <v>32</v>
      </c>
      <c r="C47" s="195" t="s">
        <v>39</v>
      </c>
      <c r="D47" s="202">
        <v>30417623</v>
      </c>
      <c r="E47" s="203" t="s">
        <v>822</v>
      </c>
      <c r="F47" s="198" t="s">
        <v>147</v>
      </c>
      <c r="G47" s="36" t="s">
        <v>785</v>
      </c>
      <c r="H47" s="30" t="s">
        <v>821</v>
      </c>
      <c r="I47" s="199" t="s">
        <v>72</v>
      </c>
      <c r="J47" s="31">
        <v>437963</v>
      </c>
      <c r="K47" s="31">
        <v>0</v>
      </c>
      <c r="L47" s="31">
        <v>0</v>
      </c>
      <c r="M47" s="31">
        <v>0</v>
      </c>
      <c r="N47" s="200">
        <v>0</v>
      </c>
      <c r="O47" s="200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2"/>
        <v>0</v>
      </c>
      <c r="Z47" s="106">
        <v>218155</v>
      </c>
      <c r="AA47" s="33">
        <v>5</v>
      </c>
      <c r="AB47" s="41">
        <v>44229</v>
      </c>
      <c r="AC47" s="41">
        <v>44246</v>
      </c>
      <c r="AD47" s="106"/>
      <c r="AE47" s="35"/>
      <c r="AF47" s="36"/>
      <c r="AG47" s="89"/>
      <c r="AH47" s="106"/>
      <c r="AI47" s="33"/>
      <c r="AJ47" s="36"/>
      <c r="AK47" s="89"/>
      <c r="AL47" s="106"/>
      <c r="AM47" s="33"/>
      <c r="AN47" s="36"/>
      <c r="AO47" s="89"/>
      <c r="AP47" s="106"/>
      <c r="AQ47" s="33"/>
      <c r="AR47" s="36"/>
      <c r="AS47" s="89"/>
      <c r="AT47" s="37">
        <f t="shared" si="0"/>
        <v>218155</v>
      </c>
      <c r="AU47" s="201">
        <f t="shared" si="1"/>
        <v>218155</v>
      </c>
    </row>
    <row r="48" spans="2:47" s="26" customFormat="1" ht="24" x14ac:dyDescent="0.25">
      <c r="B48" s="195">
        <v>33</v>
      </c>
      <c r="C48" s="195" t="s">
        <v>39</v>
      </c>
      <c r="D48" s="205">
        <v>40001352</v>
      </c>
      <c r="E48" s="203" t="s">
        <v>823</v>
      </c>
      <c r="F48" s="198" t="s">
        <v>147</v>
      </c>
      <c r="G48" s="36" t="s">
        <v>785</v>
      </c>
      <c r="H48" s="30" t="s">
        <v>786</v>
      </c>
      <c r="I48" s="199" t="s">
        <v>72</v>
      </c>
      <c r="J48" s="31">
        <v>880308</v>
      </c>
      <c r="K48" s="31">
        <v>0</v>
      </c>
      <c r="L48" s="31">
        <v>1</v>
      </c>
      <c r="M48" s="31">
        <v>0</v>
      </c>
      <c r="N48" s="200">
        <v>0</v>
      </c>
      <c r="O48" s="200">
        <v>0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si="2"/>
        <v>0</v>
      </c>
      <c r="Z48" s="106">
        <v>860935</v>
      </c>
      <c r="AA48" s="33">
        <v>5</v>
      </c>
      <c r="AB48" s="41">
        <v>44229</v>
      </c>
      <c r="AC48" s="41">
        <v>44246</v>
      </c>
      <c r="AD48" s="106">
        <v>-510000</v>
      </c>
      <c r="AE48" s="35">
        <v>7</v>
      </c>
      <c r="AF48" s="41">
        <v>44229</v>
      </c>
      <c r="AG48" s="41">
        <v>44250</v>
      </c>
      <c r="AH48" s="106">
        <v>182653</v>
      </c>
      <c r="AI48" s="35">
        <v>13</v>
      </c>
      <c r="AJ48" s="41">
        <v>44259</v>
      </c>
      <c r="AK48" s="41">
        <v>44285</v>
      </c>
      <c r="AL48" s="106"/>
      <c r="AM48" s="33"/>
      <c r="AN48" s="36"/>
      <c r="AO48" s="89"/>
      <c r="AP48" s="106"/>
      <c r="AQ48" s="33"/>
      <c r="AR48" s="36"/>
      <c r="AS48" s="89"/>
      <c r="AT48" s="37">
        <f t="shared" si="0"/>
        <v>533588</v>
      </c>
      <c r="AU48" s="201">
        <f t="shared" si="1"/>
        <v>533588</v>
      </c>
    </row>
    <row r="49" spans="2:47" s="26" customFormat="1" ht="24" x14ac:dyDescent="0.25">
      <c r="B49" s="195">
        <v>34</v>
      </c>
      <c r="C49" s="195" t="s">
        <v>39</v>
      </c>
      <c r="D49" s="202">
        <v>30403324</v>
      </c>
      <c r="E49" s="203" t="s">
        <v>824</v>
      </c>
      <c r="F49" s="198" t="s">
        <v>147</v>
      </c>
      <c r="G49" s="36" t="s">
        <v>785</v>
      </c>
      <c r="H49" s="30" t="s">
        <v>821</v>
      </c>
      <c r="I49" s="199" t="s">
        <v>72</v>
      </c>
      <c r="J49" s="31">
        <v>203724</v>
      </c>
      <c r="K49" s="31">
        <v>0</v>
      </c>
      <c r="L49" s="31">
        <v>0</v>
      </c>
      <c r="M49" s="31">
        <v>0</v>
      </c>
      <c r="N49" s="200">
        <v>0</v>
      </c>
      <c r="O49" s="200">
        <v>0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2"/>
        <v>0</v>
      </c>
      <c r="Z49" s="106">
        <v>202698</v>
      </c>
      <c r="AA49" s="33">
        <v>5</v>
      </c>
      <c r="AB49" s="41">
        <v>44229</v>
      </c>
      <c r="AC49" s="41">
        <v>44246</v>
      </c>
      <c r="AD49" s="106"/>
      <c r="AE49" s="35"/>
      <c r="AF49" s="36"/>
      <c r="AG49" s="89"/>
      <c r="AH49" s="106"/>
      <c r="AI49" s="33"/>
      <c r="AJ49" s="36"/>
      <c r="AK49" s="89"/>
      <c r="AL49" s="106"/>
      <c r="AM49" s="33"/>
      <c r="AN49" s="36"/>
      <c r="AO49" s="89"/>
      <c r="AP49" s="106"/>
      <c r="AQ49" s="33"/>
      <c r="AR49" s="36"/>
      <c r="AS49" s="89"/>
      <c r="AT49" s="37">
        <f t="shared" si="0"/>
        <v>202698</v>
      </c>
      <c r="AU49" s="201">
        <f t="shared" si="1"/>
        <v>202698</v>
      </c>
    </row>
    <row r="50" spans="2:47" s="26" customFormat="1" ht="24" x14ac:dyDescent="0.25">
      <c r="B50" s="195">
        <v>35</v>
      </c>
      <c r="C50" s="195" t="s">
        <v>39</v>
      </c>
      <c r="D50" s="202">
        <v>30102710</v>
      </c>
      <c r="E50" s="203" t="s">
        <v>825</v>
      </c>
      <c r="F50" s="198" t="s">
        <v>147</v>
      </c>
      <c r="G50" s="36" t="s">
        <v>785</v>
      </c>
      <c r="H50" s="30" t="s">
        <v>786</v>
      </c>
      <c r="I50" s="199" t="s">
        <v>57</v>
      </c>
      <c r="J50" s="31">
        <v>2787089</v>
      </c>
      <c r="K50" s="31">
        <v>937873</v>
      </c>
      <c r="L50" s="31">
        <v>215355</v>
      </c>
      <c r="M50" s="31">
        <v>0</v>
      </c>
      <c r="N50" s="200">
        <v>0</v>
      </c>
      <c r="O50" s="200">
        <v>0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2"/>
        <v>0</v>
      </c>
      <c r="Z50" s="106">
        <v>552202</v>
      </c>
      <c r="AA50" s="33">
        <v>5</v>
      </c>
      <c r="AB50" s="41">
        <v>44229</v>
      </c>
      <c r="AC50" s="41">
        <v>44246</v>
      </c>
      <c r="AD50" s="106">
        <v>-500999</v>
      </c>
      <c r="AE50" s="35">
        <v>10</v>
      </c>
      <c r="AF50" s="41">
        <v>44239</v>
      </c>
      <c r="AG50" s="41">
        <v>44259</v>
      </c>
      <c r="AH50" s="106"/>
      <c r="AI50" s="33"/>
      <c r="AJ50" s="36"/>
      <c r="AK50" s="89"/>
      <c r="AL50" s="106"/>
      <c r="AM50" s="33"/>
      <c r="AN50" s="36"/>
      <c r="AO50" s="89"/>
      <c r="AP50" s="106"/>
      <c r="AQ50" s="33"/>
      <c r="AR50" s="36"/>
      <c r="AS50" s="89"/>
      <c r="AT50" s="37">
        <f t="shared" si="0"/>
        <v>51203</v>
      </c>
      <c r="AU50" s="201">
        <f t="shared" si="1"/>
        <v>51203</v>
      </c>
    </row>
    <row r="51" spans="2:47" s="26" customFormat="1" ht="24" customHeight="1" x14ac:dyDescent="0.25">
      <c r="B51" s="195">
        <v>36</v>
      </c>
      <c r="C51" s="195" t="s">
        <v>43</v>
      </c>
      <c r="D51" s="206">
        <v>30482631</v>
      </c>
      <c r="E51" s="203" t="s">
        <v>826</v>
      </c>
      <c r="F51" s="198" t="s">
        <v>147</v>
      </c>
      <c r="G51" s="36" t="s">
        <v>785</v>
      </c>
      <c r="H51" s="30" t="s">
        <v>792</v>
      </c>
      <c r="I51" s="199" t="s">
        <v>57</v>
      </c>
      <c r="J51" s="31">
        <v>692644</v>
      </c>
      <c r="K51" s="31">
        <v>687586</v>
      </c>
      <c r="L51" s="31">
        <v>0</v>
      </c>
      <c r="M51" s="31">
        <v>0</v>
      </c>
      <c r="N51" s="200">
        <v>2444</v>
      </c>
      <c r="O51" s="200">
        <v>0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2"/>
        <v>2444</v>
      </c>
      <c r="Z51" s="106">
        <v>3666</v>
      </c>
      <c r="AA51" s="33">
        <v>5</v>
      </c>
      <c r="AB51" s="41">
        <v>44229</v>
      </c>
      <c r="AC51" s="41">
        <v>44246</v>
      </c>
      <c r="AD51" s="106"/>
      <c r="AE51" s="35"/>
      <c r="AF51" s="36"/>
      <c r="AG51" s="89"/>
      <c r="AH51" s="106"/>
      <c r="AI51" s="33"/>
      <c r="AJ51" s="36"/>
      <c r="AK51" s="89"/>
      <c r="AL51" s="106"/>
      <c r="AM51" s="33"/>
      <c r="AN51" s="36"/>
      <c r="AO51" s="89"/>
      <c r="AP51" s="106"/>
      <c r="AQ51" s="33"/>
      <c r="AR51" s="36"/>
      <c r="AS51" s="89"/>
      <c r="AT51" s="37">
        <f t="shared" si="0"/>
        <v>3666</v>
      </c>
      <c r="AU51" s="201">
        <f t="shared" si="1"/>
        <v>1222</v>
      </c>
    </row>
    <row r="52" spans="2:47" s="26" customFormat="1" ht="24" customHeight="1" x14ac:dyDescent="0.25">
      <c r="B52" s="195">
        <v>37</v>
      </c>
      <c r="C52" s="195" t="s">
        <v>43</v>
      </c>
      <c r="D52" s="206">
        <v>30485762</v>
      </c>
      <c r="E52" s="203" t="s">
        <v>827</v>
      </c>
      <c r="F52" s="198" t="s">
        <v>147</v>
      </c>
      <c r="G52" s="36" t="s">
        <v>785</v>
      </c>
      <c r="H52" s="30" t="s">
        <v>93</v>
      </c>
      <c r="I52" s="199" t="s">
        <v>57</v>
      </c>
      <c r="J52" s="31">
        <v>304081</v>
      </c>
      <c r="K52" s="31">
        <v>248977</v>
      </c>
      <c r="L52" s="31">
        <v>2</v>
      </c>
      <c r="M52" s="31">
        <v>0</v>
      </c>
      <c r="N52" s="200">
        <v>6160</v>
      </c>
      <c r="O52" s="200">
        <v>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2"/>
        <v>6160</v>
      </c>
      <c r="Z52" s="106">
        <v>25100</v>
      </c>
      <c r="AA52" s="33">
        <v>5</v>
      </c>
      <c r="AB52" s="41">
        <v>44229</v>
      </c>
      <c r="AC52" s="41">
        <v>44246</v>
      </c>
      <c r="AD52" s="106"/>
      <c r="AE52" s="35"/>
      <c r="AF52" s="36"/>
      <c r="AG52" s="89"/>
      <c r="AH52" s="106"/>
      <c r="AI52" s="33"/>
      <c r="AJ52" s="36"/>
      <c r="AK52" s="89"/>
      <c r="AL52" s="106"/>
      <c r="AM52" s="33"/>
      <c r="AN52" s="36"/>
      <c r="AO52" s="89"/>
      <c r="AP52" s="106"/>
      <c r="AQ52" s="33"/>
      <c r="AR52" s="36"/>
      <c r="AS52" s="89"/>
      <c r="AT52" s="37">
        <f t="shared" si="0"/>
        <v>25100</v>
      </c>
      <c r="AU52" s="201">
        <f t="shared" si="1"/>
        <v>18940</v>
      </c>
    </row>
    <row r="53" spans="2:47" s="26" customFormat="1" ht="24" x14ac:dyDescent="0.25">
      <c r="B53" s="195">
        <v>38</v>
      </c>
      <c r="C53" s="195" t="s">
        <v>43</v>
      </c>
      <c r="D53" s="207">
        <v>40005138</v>
      </c>
      <c r="E53" s="203" t="s">
        <v>828</v>
      </c>
      <c r="F53" s="198" t="s">
        <v>147</v>
      </c>
      <c r="G53" s="36" t="s">
        <v>785</v>
      </c>
      <c r="H53" s="30" t="s">
        <v>93</v>
      </c>
      <c r="I53" s="199" t="s">
        <v>57</v>
      </c>
      <c r="J53" s="31">
        <v>441306</v>
      </c>
      <c r="K53" s="31">
        <v>105126</v>
      </c>
      <c r="L53" s="31">
        <v>98761</v>
      </c>
      <c r="M53" s="31">
        <v>0</v>
      </c>
      <c r="N53" s="200">
        <v>0</v>
      </c>
      <c r="O53" s="200"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2"/>
        <v>0</v>
      </c>
      <c r="Z53" s="106">
        <v>129500</v>
      </c>
      <c r="AA53" s="33">
        <v>5</v>
      </c>
      <c r="AB53" s="41">
        <v>44229</v>
      </c>
      <c r="AC53" s="41">
        <v>44246</v>
      </c>
      <c r="AD53" s="106"/>
      <c r="AE53" s="35"/>
      <c r="AF53" s="36"/>
      <c r="AG53" s="89"/>
      <c r="AH53" s="106"/>
      <c r="AI53" s="33"/>
      <c r="AJ53" s="36"/>
      <c r="AK53" s="89"/>
      <c r="AL53" s="106"/>
      <c r="AM53" s="33"/>
      <c r="AN53" s="36"/>
      <c r="AO53" s="89"/>
      <c r="AP53" s="106"/>
      <c r="AQ53" s="33"/>
      <c r="AR53" s="36"/>
      <c r="AS53" s="89"/>
      <c r="AT53" s="37">
        <f t="shared" si="0"/>
        <v>129500</v>
      </c>
      <c r="AU53" s="201">
        <f t="shared" si="1"/>
        <v>129500</v>
      </c>
    </row>
    <row r="54" spans="2:47" s="26" customFormat="1" ht="24" x14ac:dyDescent="0.25">
      <c r="B54" s="195">
        <v>39</v>
      </c>
      <c r="C54" s="195" t="s">
        <v>43</v>
      </c>
      <c r="D54" s="206">
        <v>40019660</v>
      </c>
      <c r="E54" s="203" t="s">
        <v>829</v>
      </c>
      <c r="F54" s="198" t="s">
        <v>147</v>
      </c>
      <c r="G54" s="36" t="s">
        <v>785</v>
      </c>
      <c r="H54" s="30" t="s">
        <v>93</v>
      </c>
      <c r="I54" s="199" t="s">
        <v>57</v>
      </c>
      <c r="J54" s="31">
        <v>482300</v>
      </c>
      <c r="K54" s="31">
        <v>3600</v>
      </c>
      <c r="L54" s="31">
        <v>274000</v>
      </c>
      <c r="M54" s="31">
        <v>0</v>
      </c>
      <c r="N54" s="200">
        <v>1000</v>
      </c>
      <c r="O54" s="200">
        <v>4000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2"/>
        <v>5000</v>
      </c>
      <c r="Z54" s="106">
        <v>127773</v>
      </c>
      <c r="AA54" s="33">
        <v>5</v>
      </c>
      <c r="AB54" s="41">
        <v>44229</v>
      </c>
      <c r="AC54" s="41">
        <v>44246</v>
      </c>
      <c r="AD54" s="106"/>
      <c r="AE54" s="35"/>
      <c r="AF54" s="36"/>
      <c r="AG54" s="89"/>
      <c r="AH54" s="106"/>
      <c r="AI54" s="33"/>
      <c r="AJ54" s="36"/>
      <c r="AK54" s="89"/>
      <c r="AL54" s="106"/>
      <c r="AM54" s="33"/>
      <c r="AN54" s="36"/>
      <c r="AO54" s="89"/>
      <c r="AP54" s="106"/>
      <c r="AQ54" s="33"/>
      <c r="AR54" s="36"/>
      <c r="AS54" s="89"/>
      <c r="AT54" s="37">
        <f t="shared" si="0"/>
        <v>127773</v>
      </c>
      <c r="AU54" s="201">
        <f t="shared" si="1"/>
        <v>122773</v>
      </c>
    </row>
    <row r="55" spans="2:47" s="26" customFormat="1" ht="23.25" customHeight="1" x14ac:dyDescent="0.25">
      <c r="B55" s="195">
        <v>40</v>
      </c>
      <c r="C55" s="195" t="s">
        <v>39</v>
      </c>
      <c r="D55" s="206">
        <v>40007766</v>
      </c>
      <c r="E55" s="203" t="s">
        <v>830</v>
      </c>
      <c r="F55" s="198" t="s">
        <v>147</v>
      </c>
      <c r="G55" s="36" t="s">
        <v>785</v>
      </c>
      <c r="H55" s="30" t="s">
        <v>786</v>
      </c>
      <c r="I55" s="199" t="s">
        <v>72</v>
      </c>
      <c r="J55" s="31">
        <v>4217438</v>
      </c>
      <c r="K55" s="31">
        <v>862199</v>
      </c>
      <c r="L55" s="31">
        <v>3355239</v>
      </c>
      <c r="M55" s="31">
        <v>0</v>
      </c>
      <c r="N55" s="200">
        <v>4600</v>
      </c>
      <c r="O55" s="200">
        <v>2300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2"/>
        <v>6900</v>
      </c>
      <c r="Z55" s="106">
        <v>26401</v>
      </c>
      <c r="AA55" s="33">
        <v>6</v>
      </c>
      <c r="AB55" s="41">
        <v>44229</v>
      </c>
      <c r="AC55" s="41">
        <v>44250</v>
      </c>
      <c r="AD55" s="106">
        <v>9800</v>
      </c>
      <c r="AE55" s="35">
        <v>13</v>
      </c>
      <c r="AF55" s="41">
        <v>44259</v>
      </c>
      <c r="AG55" s="41">
        <v>44285</v>
      </c>
      <c r="AH55" s="106"/>
      <c r="AI55" s="33"/>
      <c r="AJ55" s="36"/>
      <c r="AK55" s="89"/>
      <c r="AL55" s="106"/>
      <c r="AM55" s="33"/>
      <c r="AN55" s="36"/>
      <c r="AO55" s="89"/>
      <c r="AP55" s="106"/>
      <c r="AQ55" s="33"/>
      <c r="AR55" s="36"/>
      <c r="AS55" s="89"/>
      <c r="AT55" s="37">
        <f t="shared" si="0"/>
        <v>36201</v>
      </c>
      <c r="AU55" s="201">
        <f t="shared" si="1"/>
        <v>29301</v>
      </c>
    </row>
    <row r="56" spans="2:47" s="26" customFormat="1" ht="23.25" customHeight="1" x14ac:dyDescent="0.25">
      <c r="B56" s="195">
        <v>41</v>
      </c>
      <c r="C56" s="195" t="s">
        <v>39</v>
      </c>
      <c r="D56" s="206">
        <v>30482839</v>
      </c>
      <c r="E56" s="203" t="s">
        <v>831</v>
      </c>
      <c r="F56" s="198" t="s">
        <v>147</v>
      </c>
      <c r="G56" s="36" t="s">
        <v>785</v>
      </c>
      <c r="H56" s="30" t="s">
        <v>789</v>
      </c>
      <c r="I56" s="199" t="s">
        <v>57</v>
      </c>
      <c r="J56" s="31">
        <v>487958</v>
      </c>
      <c r="K56" s="31">
        <v>21127</v>
      </c>
      <c r="L56" s="31">
        <v>1</v>
      </c>
      <c r="M56" s="31">
        <v>0</v>
      </c>
      <c r="N56" s="200">
        <v>0</v>
      </c>
      <c r="O56" s="200"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2"/>
        <v>0</v>
      </c>
      <c r="Z56" s="106">
        <v>446588</v>
      </c>
      <c r="AA56" s="33">
        <v>6</v>
      </c>
      <c r="AB56" s="41">
        <v>44229</v>
      </c>
      <c r="AC56" s="41">
        <v>44250</v>
      </c>
      <c r="AD56" s="106"/>
      <c r="AE56" s="35"/>
      <c r="AF56" s="36"/>
      <c r="AG56" s="89"/>
      <c r="AH56" s="106"/>
      <c r="AI56" s="33"/>
      <c r="AJ56" s="36"/>
      <c r="AK56" s="89"/>
      <c r="AL56" s="106"/>
      <c r="AM56" s="33"/>
      <c r="AN56" s="36"/>
      <c r="AO56" s="89"/>
      <c r="AP56" s="106"/>
      <c r="AQ56" s="33"/>
      <c r="AR56" s="36"/>
      <c r="AS56" s="89"/>
      <c r="AT56" s="37">
        <f t="shared" si="0"/>
        <v>446588</v>
      </c>
      <c r="AU56" s="201">
        <f t="shared" si="1"/>
        <v>446588</v>
      </c>
    </row>
    <row r="57" spans="2:47" s="26" customFormat="1" ht="23.25" customHeight="1" x14ac:dyDescent="0.25">
      <c r="B57" s="195">
        <v>42</v>
      </c>
      <c r="C57" s="195" t="s">
        <v>39</v>
      </c>
      <c r="D57" s="206">
        <v>30480574</v>
      </c>
      <c r="E57" s="203" t="s">
        <v>832</v>
      </c>
      <c r="F57" s="198" t="s">
        <v>147</v>
      </c>
      <c r="G57" s="36" t="s">
        <v>785</v>
      </c>
      <c r="H57" s="30" t="s">
        <v>811</v>
      </c>
      <c r="I57" s="199" t="s">
        <v>57</v>
      </c>
      <c r="J57" s="31">
        <v>359033</v>
      </c>
      <c r="K57" s="31">
        <v>309354</v>
      </c>
      <c r="L57" s="31">
        <v>1</v>
      </c>
      <c r="M57" s="31">
        <v>0</v>
      </c>
      <c r="N57" s="200">
        <v>0</v>
      </c>
      <c r="O57" s="200">
        <v>0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2"/>
        <v>0</v>
      </c>
      <c r="Z57" s="106">
        <v>27690</v>
      </c>
      <c r="AA57" s="33">
        <v>6</v>
      </c>
      <c r="AB57" s="41">
        <v>44229</v>
      </c>
      <c r="AC57" s="41">
        <v>44250</v>
      </c>
      <c r="AD57" s="106"/>
      <c r="AE57" s="35"/>
      <c r="AF57" s="36"/>
      <c r="AG57" s="89"/>
      <c r="AH57" s="106"/>
      <c r="AI57" s="33"/>
      <c r="AJ57" s="36"/>
      <c r="AK57" s="89"/>
      <c r="AL57" s="106"/>
      <c r="AM57" s="33"/>
      <c r="AN57" s="36"/>
      <c r="AO57" s="89"/>
      <c r="AP57" s="106"/>
      <c r="AQ57" s="33"/>
      <c r="AR57" s="36"/>
      <c r="AS57" s="89"/>
      <c r="AT57" s="37">
        <f t="shared" si="0"/>
        <v>27690</v>
      </c>
      <c r="AU57" s="201">
        <f t="shared" si="1"/>
        <v>27690</v>
      </c>
    </row>
    <row r="58" spans="2:47" s="26" customFormat="1" ht="23.25" customHeight="1" x14ac:dyDescent="0.25">
      <c r="B58" s="195">
        <v>43</v>
      </c>
      <c r="C58" s="195" t="s">
        <v>39</v>
      </c>
      <c r="D58" s="206">
        <v>40017378</v>
      </c>
      <c r="E58" s="203" t="s">
        <v>833</v>
      </c>
      <c r="F58" s="198" t="s">
        <v>147</v>
      </c>
      <c r="G58" s="36" t="s">
        <v>785</v>
      </c>
      <c r="H58" s="30" t="s">
        <v>807</v>
      </c>
      <c r="I58" s="199" t="s">
        <v>57</v>
      </c>
      <c r="J58" s="31">
        <v>3997068</v>
      </c>
      <c r="K58" s="31">
        <v>3697050</v>
      </c>
      <c r="L58" s="31">
        <v>2097</v>
      </c>
      <c r="M58" s="31">
        <v>0</v>
      </c>
      <c r="N58" s="200">
        <v>0</v>
      </c>
      <c r="O58" s="200">
        <v>0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2"/>
        <v>0</v>
      </c>
      <c r="Z58" s="106">
        <v>291365</v>
      </c>
      <c r="AA58" s="33">
        <v>6</v>
      </c>
      <c r="AB58" s="41">
        <v>44229</v>
      </c>
      <c r="AC58" s="41">
        <v>44250</v>
      </c>
      <c r="AD58" s="106"/>
      <c r="AE58" s="35"/>
      <c r="AF58" s="36"/>
      <c r="AG58" s="89"/>
      <c r="AH58" s="106"/>
      <c r="AI58" s="33"/>
      <c r="AJ58" s="36"/>
      <c r="AK58" s="89"/>
      <c r="AL58" s="106"/>
      <c r="AM58" s="33"/>
      <c r="AN58" s="36"/>
      <c r="AO58" s="89"/>
      <c r="AP58" s="106"/>
      <c r="AQ58" s="33"/>
      <c r="AR58" s="36"/>
      <c r="AS58" s="89"/>
      <c r="AT58" s="37">
        <f t="shared" si="0"/>
        <v>291365</v>
      </c>
      <c r="AU58" s="201">
        <f t="shared" si="1"/>
        <v>291365</v>
      </c>
    </row>
    <row r="59" spans="2:47" s="26" customFormat="1" ht="23.25" customHeight="1" x14ac:dyDescent="0.25">
      <c r="B59" s="195">
        <v>44</v>
      </c>
      <c r="C59" s="195" t="s">
        <v>39</v>
      </c>
      <c r="D59" s="206">
        <v>30227573</v>
      </c>
      <c r="E59" s="203" t="s">
        <v>834</v>
      </c>
      <c r="F59" s="198" t="s">
        <v>193</v>
      </c>
      <c r="G59" s="36" t="s">
        <v>785</v>
      </c>
      <c r="H59" s="30" t="s">
        <v>835</v>
      </c>
      <c r="I59" s="199" t="s">
        <v>57</v>
      </c>
      <c r="J59" s="31">
        <v>80777</v>
      </c>
      <c r="K59" s="31">
        <v>44976</v>
      </c>
      <c r="L59" s="31">
        <v>35801</v>
      </c>
      <c r="M59" s="31">
        <v>0</v>
      </c>
      <c r="N59" s="200">
        <v>0</v>
      </c>
      <c r="O59" s="200">
        <v>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2"/>
        <v>0</v>
      </c>
      <c r="Z59" s="106">
        <v>35014</v>
      </c>
      <c r="AA59" s="33">
        <v>6</v>
      </c>
      <c r="AB59" s="41">
        <v>44229</v>
      </c>
      <c r="AC59" s="41">
        <v>44250</v>
      </c>
      <c r="AD59" s="106"/>
      <c r="AE59" s="35"/>
      <c r="AF59" s="36"/>
      <c r="AG59" s="89"/>
      <c r="AH59" s="106"/>
      <c r="AI59" s="33"/>
      <c r="AJ59" s="36"/>
      <c r="AK59" s="89"/>
      <c r="AL59" s="106"/>
      <c r="AM59" s="33"/>
      <c r="AN59" s="36"/>
      <c r="AO59" s="89"/>
      <c r="AP59" s="106"/>
      <c r="AQ59" s="33"/>
      <c r="AR59" s="36"/>
      <c r="AS59" s="89"/>
      <c r="AT59" s="37">
        <f t="shared" si="0"/>
        <v>35014</v>
      </c>
      <c r="AU59" s="201">
        <f t="shared" si="1"/>
        <v>35014</v>
      </c>
    </row>
    <row r="60" spans="2:47" s="26" customFormat="1" ht="23.25" customHeight="1" x14ac:dyDescent="0.25">
      <c r="B60" s="195">
        <v>45</v>
      </c>
      <c r="C60" s="195" t="s">
        <v>39</v>
      </c>
      <c r="D60" s="206">
        <v>40021428</v>
      </c>
      <c r="E60" s="203" t="s">
        <v>836</v>
      </c>
      <c r="F60" s="198" t="s">
        <v>147</v>
      </c>
      <c r="G60" s="36" t="s">
        <v>785</v>
      </c>
      <c r="H60" s="30" t="s">
        <v>786</v>
      </c>
      <c r="I60" s="199" t="s">
        <v>57</v>
      </c>
      <c r="J60" s="31">
        <v>185229</v>
      </c>
      <c r="K60" s="31">
        <v>17894</v>
      </c>
      <c r="L60" s="31">
        <v>10225</v>
      </c>
      <c r="M60" s="31">
        <v>0</v>
      </c>
      <c r="N60" s="200">
        <v>4000</v>
      </c>
      <c r="O60" s="200">
        <v>3000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2"/>
        <v>7000</v>
      </c>
      <c r="Z60" s="106">
        <v>8502</v>
      </c>
      <c r="AA60" s="33">
        <v>6</v>
      </c>
      <c r="AB60" s="41">
        <v>44229</v>
      </c>
      <c r="AC60" s="41">
        <v>44250</v>
      </c>
      <c r="AD60" s="106"/>
      <c r="AE60" s="35"/>
      <c r="AF60" s="36"/>
      <c r="AG60" s="89"/>
      <c r="AH60" s="106"/>
      <c r="AI60" s="33"/>
      <c r="AJ60" s="36"/>
      <c r="AK60" s="89"/>
      <c r="AL60" s="106"/>
      <c r="AM60" s="33"/>
      <c r="AN60" s="36"/>
      <c r="AO60" s="89"/>
      <c r="AP60" s="106"/>
      <c r="AQ60" s="33"/>
      <c r="AR60" s="36"/>
      <c r="AS60" s="89"/>
      <c r="AT60" s="37">
        <f t="shared" si="0"/>
        <v>8502</v>
      </c>
      <c r="AU60" s="201">
        <f t="shared" si="1"/>
        <v>1502</v>
      </c>
    </row>
    <row r="61" spans="2:47" s="26" customFormat="1" ht="23.25" customHeight="1" x14ac:dyDescent="0.25">
      <c r="B61" s="195">
        <v>46</v>
      </c>
      <c r="C61" s="195" t="s">
        <v>39</v>
      </c>
      <c r="D61" s="206">
        <v>30080833</v>
      </c>
      <c r="E61" s="203" t="s">
        <v>837</v>
      </c>
      <c r="F61" s="198" t="s">
        <v>147</v>
      </c>
      <c r="G61" s="36" t="s">
        <v>785</v>
      </c>
      <c r="H61" s="30" t="s">
        <v>786</v>
      </c>
      <c r="I61" s="199" t="s">
        <v>57</v>
      </c>
      <c r="J61" s="31">
        <v>34464793</v>
      </c>
      <c r="K61" s="31">
        <v>30787709</v>
      </c>
      <c r="L61" s="31">
        <v>0</v>
      </c>
      <c r="M61" s="31">
        <v>0</v>
      </c>
      <c r="N61" s="200">
        <v>2470</v>
      </c>
      <c r="O61" s="200">
        <v>4940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2"/>
        <v>7410</v>
      </c>
      <c r="Z61" s="106">
        <v>839640</v>
      </c>
      <c r="AA61" s="33">
        <v>6</v>
      </c>
      <c r="AB61" s="41">
        <v>44229</v>
      </c>
      <c r="AC61" s="41">
        <v>44250</v>
      </c>
      <c r="AD61" s="106"/>
      <c r="AE61" s="35"/>
      <c r="AF61" s="36"/>
      <c r="AG61" s="89"/>
      <c r="AH61" s="106"/>
      <c r="AI61" s="33"/>
      <c r="AJ61" s="36"/>
      <c r="AK61" s="89"/>
      <c r="AL61" s="106"/>
      <c r="AM61" s="33"/>
      <c r="AN61" s="36"/>
      <c r="AO61" s="89"/>
      <c r="AP61" s="106"/>
      <c r="AQ61" s="33"/>
      <c r="AR61" s="36"/>
      <c r="AS61" s="89"/>
      <c r="AT61" s="37">
        <f t="shared" si="0"/>
        <v>839640</v>
      </c>
      <c r="AU61" s="201">
        <f t="shared" si="1"/>
        <v>832230</v>
      </c>
    </row>
    <row r="62" spans="2:47" s="26" customFormat="1" ht="23.25" customHeight="1" x14ac:dyDescent="0.25">
      <c r="B62" s="195">
        <v>47</v>
      </c>
      <c r="C62" s="195" t="s">
        <v>39</v>
      </c>
      <c r="D62" s="206">
        <v>30102049</v>
      </c>
      <c r="E62" s="203" t="s">
        <v>838</v>
      </c>
      <c r="F62" s="198" t="s">
        <v>147</v>
      </c>
      <c r="G62" s="36" t="s">
        <v>785</v>
      </c>
      <c r="H62" s="30" t="s">
        <v>792</v>
      </c>
      <c r="I62" s="199" t="s">
        <v>57</v>
      </c>
      <c r="J62" s="31">
        <v>4694880</v>
      </c>
      <c r="K62" s="31">
        <v>3512824</v>
      </c>
      <c r="L62" s="31">
        <v>0</v>
      </c>
      <c r="M62" s="31">
        <v>0</v>
      </c>
      <c r="N62" s="200">
        <v>0</v>
      </c>
      <c r="O62" s="200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2"/>
        <v>0</v>
      </c>
      <c r="Z62" s="106">
        <v>1</v>
      </c>
      <c r="AA62" s="33">
        <v>6</v>
      </c>
      <c r="AB62" s="41">
        <v>44229</v>
      </c>
      <c r="AC62" s="41">
        <v>44250</v>
      </c>
      <c r="AD62" s="106"/>
      <c r="AE62" s="35"/>
      <c r="AF62" s="36"/>
      <c r="AG62" s="89"/>
      <c r="AH62" s="106"/>
      <c r="AI62" s="33"/>
      <c r="AJ62" s="36"/>
      <c r="AK62" s="89"/>
      <c r="AL62" s="106"/>
      <c r="AM62" s="33"/>
      <c r="AN62" s="36"/>
      <c r="AO62" s="89"/>
      <c r="AP62" s="106"/>
      <c r="AQ62" s="33"/>
      <c r="AR62" s="36"/>
      <c r="AS62" s="89"/>
      <c r="AT62" s="37">
        <f t="shared" si="0"/>
        <v>1</v>
      </c>
      <c r="AU62" s="201">
        <f t="shared" si="1"/>
        <v>1</v>
      </c>
    </row>
    <row r="63" spans="2:47" s="26" customFormat="1" ht="23.25" customHeight="1" x14ac:dyDescent="0.25">
      <c r="B63" s="195">
        <v>48</v>
      </c>
      <c r="C63" s="195" t="s">
        <v>39</v>
      </c>
      <c r="D63" s="206">
        <v>30485475</v>
      </c>
      <c r="E63" s="203" t="s">
        <v>839</v>
      </c>
      <c r="F63" s="198" t="s">
        <v>147</v>
      </c>
      <c r="G63" s="36" t="s">
        <v>785</v>
      </c>
      <c r="H63" s="30" t="s">
        <v>792</v>
      </c>
      <c r="I63" s="199" t="s">
        <v>72</v>
      </c>
      <c r="J63" s="31">
        <v>173442</v>
      </c>
      <c r="K63" s="31">
        <v>3067</v>
      </c>
      <c r="L63" s="31">
        <v>0</v>
      </c>
      <c r="M63" s="31">
        <v>0</v>
      </c>
      <c r="N63" s="200">
        <v>0</v>
      </c>
      <c r="O63" s="200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2"/>
        <v>0</v>
      </c>
      <c r="Z63" s="106">
        <v>2</v>
      </c>
      <c r="AA63" s="33">
        <v>6</v>
      </c>
      <c r="AB63" s="41">
        <v>44229</v>
      </c>
      <c r="AC63" s="41">
        <v>44250</v>
      </c>
      <c r="AD63" s="106"/>
      <c r="AE63" s="35"/>
      <c r="AF63" s="36"/>
      <c r="AG63" s="89"/>
      <c r="AH63" s="106"/>
      <c r="AI63" s="33"/>
      <c r="AJ63" s="36"/>
      <c r="AK63" s="89"/>
      <c r="AL63" s="106"/>
      <c r="AM63" s="33"/>
      <c r="AN63" s="36"/>
      <c r="AO63" s="89"/>
      <c r="AP63" s="106"/>
      <c r="AQ63" s="33"/>
      <c r="AR63" s="36"/>
      <c r="AS63" s="89"/>
      <c r="AT63" s="37">
        <f t="shared" si="0"/>
        <v>2</v>
      </c>
      <c r="AU63" s="201">
        <f t="shared" si="1"/>
        <v>2</v>
      </c>
    </row>
    <row r="64" spans="2:47" s="26" customFormat="1" ht="24" x14ac:dyDescent="0.25">
      <c r="B64" s="195">
        <v>49</v>
      </c>
      <c r="C64" s="195" t="s">
        <v>39</v>
      </c>
      <c r="D64" s="206">
        <v>30391222</v>
      </c>
      <c r="E64" s="203" t="s">
        <v>840</v>
      </c>
      <c r="F64" s="198" t="s">
        <v>147</v>
      </c>
      <c r="G64" s="36" t="s">
        <v>785</v>
      </c>
      <c r="H64" s="30" t="s">
        <v>807</v>
      </c>
      <c r="I64" s="199" t="s">
        <v>57</v>
      </c>
      <c r="J64" s="31">
        <v>358854</v>
      </c>
      <c r="K64" s="31">
        <v>17611</v>
      </c>
      <c r="L64" s="31">
        <v>1</v>
      </c>
      <c r="M64" s="31">
        <v>0</v>
      </c>
      <c r="N64" s="200">
        <v>42852</v>
      </c>
      <c r="O64" s="200">
        <v>10984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2"/>
        <v>53836</v>
      </c>
      <c r="Z64" s="106">
        <v>349132</v>
      </c>
      <c r="AA64" s="33">
        <v>7</v>
      </c>
      <c r="AB64" s="41">
        <v>44229</v>
      </c>
      <c r="AC64" s="41">
        <v>44250</v>
      </c>
      <c r="AD64" s="106"/>
      <c r="AE64" s="35"/>
      <c r="AF64" s="36"/>
      <c r="AG64" s="89"/>
      <c r="AH64" s="106"/>
      <c r="AI64" s="33"/>
      <c r="AJ64" s="36"/>
      <c r="AK64" s="89"/>
      <c r="AL64" s="106"/>
      <c r="AM64" s="33"/>
      <c r="AN64" s="36"/>
      <c r="AO64" s="89"/>
      <c r="AP64" s="106"/>
      <c r="AQ64" s="33"/>
      <c r="AR64" s="36"/>
      <c r="AS64" s="89"/>
      <c r="AT64" s="37">
        <f t="shared" si="0"/>
        <v>349132</v>
      </c>
      <c r="AU64" s="201">
        <f t="shared" si="1"/>
        <v>295296</v>
      </c>
    </row>
    <row r="65" spans="2:47" s="26" customFormat="1" ht="24" x14ac:dyDescent="0.25">
      <c r="B65" s="195">
        <v>50</v>
      </c>
      <c r="C65" s="195" t="s">
        <v>39</v>
      </c>
      <c r="D65" s="206">
        <v>30070061</v>
      </c>
      <c r="E65" s="203" t="s">
        <v>841</v>
      </c>
      <c r="F65" s="198" t="s">
        <v>147</v>
      </c>
      <c r="G65" s="36" t="s">
        <v>785</v>
      </c>
      <c r="H65" s="30" t="s">
        <v>807</v>
      </c>
      <c r="I65" s="199" t="s">
        <v>57</v>
      </c>
      <c r="J65" s="31">
        <v>3649103</v>
      </c>
      <c r="K65" s="31">
        <v>23810</v>
      </c>
      <c r="L65" s="31">
        <v>2353140</v>
      </c>
      <c r="M65" s="31">
        <v>0</v>
      </c>
      <c r="N65" s="200">
        <v>9919</v>
      </c>
      <c r="O65" s="200">
        <v>0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2"/>
        <v>9919</v>
      </c>
      <c r="Z65" s="106">
        <v>49596</v>
      </c>
      <c r="AA65" s="33">
        <v>7</v>
      </c>
      <c r="AB65" s="41">
        <v>44229</v>
      </c>
      <c r="AC65" s="41">
        <v>44250</v>
      </c>
      <c r="AD65" s="106"/>
      <c r="AE65" s="35"/>
      <c r="AF65" s="36"/>
      <c r="AG65" s="89"/>
      <c r="AH65" s="106"/>
      <c r="AI65" s="33"/>
      <c r="AJ65" s="36"/>
      <c r="AK65" s="89"/>
      <c r="AL65" s="106"/>
      <c r="AM65" s="33"/>
      <c r="AN65" s="36"/>
      <c r="AO65" s="89"/>
      <c r="AP65" s="106"/>
      <c r="AQ65" s="33"/>
      <c r="AR65" s="36"/>
      <c r="AS65" s="89"/>
      <c r="AT65" s="37">
        <f t="shared" si="0"/>
        <v>49596</v>
      </c>
      <c r="AU65" s="201">
        <f t="shared" si="1"/>
        <v>39677</v>
      </c>
    </row>
    <row r="66" spans="2:47" s="26" customFormat="1" ht="24" customHeight="1" x14ac:dyDescent="0.25">
      <c r="B66" s="195">
        <v>51</v>
      </c>
      <c r="C66" s="195" t="s">
        <v>39</v>
      </c>
      <c r="D66" s="206">
        <v>40017726</v>
      </c>
      <c r="E66" s="208" t="s">
        <v>842</v>
      </c>
      <c r="F66" s="198" t="s">
        <v>147</v>
      </c>
      <c r="G66" s="36" t="s">
        <v>785</v>
      </c>
      <c r="H66" s="30" t="s">
        <v>93</v>
      </c>
      <c r="I66" s="199" t="s">
        <v>72</v>
      </c>
      <c r="J66" s="31">
        <v>571713</v>
      </c>
      <c r="K66" s="31">
        <v>0</v>
      </c>
      <c r="L66" s="31">
        <v>514543</v>
      </c>
      <c r="M66" s="31">
        <v>0</v>
      </c>
      <c r="N66" s="200">
        <v>0</v>
      </c>
      <c r="O66" s="200"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2"/>
        <v>0</v>
      </c>
      <c r="Z66" s="106">
        <v>2</v>
      </c>
      <c r="AA66" s="33">
        <v>9</v>
      </c>
      <c r="AB66" s="41">
        <v>44238</v>
      </c>
      <c r="AC66" s="41">
        <v>44259</v>
      </c>
      <c r="AD66" s="106"/>
      <c r="AE66" s="35"/>
      <c r="AF66" s="36"/>
      <c r="AG66" s="89"/>
      <c r="AH66" s="106"/>
      <c r="AI66" s="33"/>
      <c r="AJ66" s="36"/>
      <c r="AK66" s="89"/>
      <c r="AL66" s="106"/>
      <c r="AM66" s="33"/>
      <c r="AN66" s="36"/>
      <c r="AO66" s="89"/>
      <c r="AP66" s="106"/>
      <c r="AQ66" s="33"/>
      <c r="AR66" s="36"/>
      <c r="AS66" s="89"/>
      <c r="AT66" s="37">
        <f t="shared" si="0"/>
        <v>2</v>
      </c>
      <c r="AU66" s="201">
        <f t="shared" si="1"/>
        <v>2</v>
      </c>
    </row>
    <row r="67" spans="2:47" s="26" customFormat="1" ht="24" customHeight="1" x14ac:dyDescent="0.25">
      <c r="B67" s="195">
        <v>52</v>
      </c>
      <c r="C67" s="195" t="s">
        <v>39</v>
      </c>
      <c r="D67" s="206">
        <v>40021415</v>
      </c>
      <c r="E67" s="203" t="s">
        <v>843</v>
      </c>
      <c r="F67" s="198" t="s">
        <v>147</v>
      </c>
      <c r="G67" s="36" t="s">
        <v>785</v>
      </c>
      <c r="H67" s="30" t="s">
        <v>786</v>
      </c>
      <c r="I67" s="199" t="s">
        <v>72</v>
      </c>
      <c r="J67" s="31">
        <v>919196</v>
      </c>
      <c r="K67" s="31">
        <v>0</v>
      </c>
      <c r="L67" s="31">
        <v>135450</v>
      </c>
      <c r="M67" s="31">
        <v>0</v>
      </c>
      <c r="N67" s="200">
        <v>0</v>
      </c>
      <c r="O67" s="200">
        <v>3500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2"/>
        <v>3500</v>
      </c>
      <c r="Z67" s="106">
        <v>766500</v>
      </c>
      <c r="AA67" s="33">
        <v>10</v>
      </c>
      <c r="AB67" s="41">
        <v>44239</v>
      </c>
      <c r="AC67" s="41">
        <v>44259</v>
      </c>
      <c r="AD67" s="106"/>
      <c r="AE67" s="35"/>
      <c r="AF67" s="36"/>
      <c r="AG67" s="89"/>
      <c r="AH67" s="106"/>
      <c r="AI67" s="33"/>
      <c r="AJ67" s="36"/>
      <c r="AK67" s="89"/>
      <c r="AL67" s="106"/>
      <c r="AM67" s="33"/>
      <c r="AN67" s="36"/>
      <c r="AO67" s="89"/>
      <c r="AP67" s="106"/>
      <c r="AQ67" s="33"/>
      <c r="AR67" s="36"/>
      <c r="AS67" s="89"/>
      <c r="AT67" s="37">
        <f t="shared" si="0"/>
        <v>766500</v>
      </c>
      <c r="AU67" s="201">
        <f t="shared" si="1"/>
        <v>763000</v>
      </c>
    </row>
    <row r="68" spans="2:47" s="26" customFormat="1" ht="24" customHeight="1" x14ac:dyDescent="0.25">
      <c r="B68" s="195">
        <v>53</v>
      </c>
      <c r="C68" s="195" t="s">
        <v>39</v>
      </c>
      <c r="D68" s="206">
        <v>40025087</v>
      </c>
      <c r="E68" s="203" t="s">
        <v>844</v>
      </c>
      <c r="F68" s="198" t="s">
        <v>193</v>
      </c>
      <c r="G68" s="36" t="s">
        <v>785</v>
      </c>
      <c r="H68" s="30" t="s">
        <v>93</v>
      </c>
      <c r="I68" s="199" t="s">
        <v>72</v>
      </c>
      <c r="J68" s="31">
        <v>190623</v>
      </c>
      <c r="K68" s="31">
        <v>0</v>
      </c>
      <c r="L68" s="31">
        <v>0</v>
      </c>
      <c r="M68" s="31">
        <v>0</v>
      </c>
      <c r="N68" s="200">
        <v>0</v>
      </c>
      <c r="O68" s="200">
        <v>0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2"/>
        <v>0</v>
      </c>
      <c r="Z68" s="106">
        <v>48481</v>
      </c>
      <c r="AA68" s="33">
        <v>10</v>
      </c>
      <c r="AB68" s="41">
        <v>44239</v>
      </c>
      <c r="AC68" s="41">
        <v>44259</v>
      </c>
      <c r="AD68" s="106"/>
      <c r="AE68" s="35"/>
      <c r="AF68" s="36"/>
      <c r="AG68" s="89"/>
      <c r="AH68" s="106"/>
      <c r="AI68" s="33"/>
      <c r="AJ68" s="36"/>
      <c r="AK68" s="89"/>
      <c r="AL68" s="106"/>
      <c r="AM68" s="33"/>
      <c r="AN68" s="36"/>
      <c r="AO68" s="89"/>
      <c r="AP68" s="106"/>
      <c r="AQ68" s="33"/>
      <c r="AR68" s="36"/>
      <c r="AS68" s="89"/>
      <c r="AT68" s="37">
        <f t="shared" si="0"/>
        <v>48481</v>
      </c>
      <c r="AU68" s="201">
        <f t="shared" si="1"/>
        <v>48481</v>
      </c>
    </row>
    <row r="69" spans="2:47" s="26" customFormat="1" x14ac:dyDescent="0.25">
      <c r="B69" s="195">
        <v>54</v>
      </c>
      <c r="C69" s="195"/>
      <c r="D69" s="28"/>
      <c r="E69" s="209"/>
      <c r="F69" s="210"/>
      <c r="G69" s="30"/>
      <c r="H69" s="30"/>
      <c r="I69" s="210"/>
      <c r="J69" s="199"/>
      <c r="K69" s="31"/>
      <c r="L69" s="31"/>
      <c r="M69" s="31"/>
      <c r="N69" s="31"/>
      <c r="O69" s="211"/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2"/>
        <v>0</v>
      </c>
      <c r="Z69" s="106"/>
      <c r="AA69" s="33"/>
      <c r="AB69" s="36"/>
      <c r="AC69" s="89"/>
      <c r="AD69" s="106"/>
      <c r="AE69" s="35"/>
      <c r="AF69" s="36"/>
      <c r="AG69" s="89"/>
      <c r="AH69" s="106"/>
      <c r="AI69" s="33"/>
      <c r="AJ69" s="36"/>
      <c r="AK69" s="89"/>
      <c r="AL69" s="106"/>
      <c r="AM69" s="33"/>
      <c r="AN69" s="36"/>
      <c r="AO69" s="89"/>
      <c r="AP69" s="106"/>
      <c r="AQ69" s="33"/>
      <c r="AR69" s="36"/>
      <c r="AS69" s="89"/>
      <c r="AT69" s="37">
        <f t="shared" si="0"/>
        <v>0</v>
      </c>
      <c r="AU69" s="201">
        <f t="shared" si="1"/>
        <v>0</v>
      </c>
    </row>
    <row r="70" spans="2:47" s="26" customFormat="1" x14ac:dyDescent="0.25">
      <c r="B70" s="195">
        <v>55</v>
      </c>
      <c r="C70" s="195"/>
      <c r="D70" s="28"/>
      <c r="E70" s="209"/>
      <c r="F70" s="210"/>
      <c r="G70" s="30"/>
      <c r="H70" s="30"/>
      <c r="I70" s="210"/>
      <c r="J70" s="199"/>
      <c r="K70" s="31"/>
      <c r="L70" s="31"/>
      <c r="M70" s="31"/>
      <c r="N70" s="31"/>
      <c r="O70" s="211"/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2"/>
        <v>0</v>
      </c>
      <c r="Z70" s="106"/>
      <c r="AA70" s="33"/>
      <c r="AB70" s="36"/>
      <c r="AC70" s="89"/>
      <c r="AD70" s="106"/>
      <c r="AE70" s="35"/>
      <c r="AF70" s="36"/>
      <c r="AG70" s="89"/>
      <c r="AH70" s="106"/>
      <c r="AI70" s="33"/>
      <c r="AJ70" s="36"/>
      <c r="AK70" s="89"/>
      <c r="AL70" s="106"/>
      <c r="AM70" s="33"/>
      <c r="AN70" s="36"/>
      <c r="AO70" s="89"/>
      <c r="AP70" s="106"/>
      <c r="AQ70" s="33"/>
      <c r="AR70" s="36"/>
      <c r="AS70" s="89"/>
      <c r="AT70" s="37"/>
      <c r="AU70" s="201"/>
    </row>
    <row r="71" spans="2:47" s="26" customFormat="1" x14ac:dyDescent="0.25">
      <c r="B71" s="195">
        <v>56</v>
      </c>
      <c r="C71" s="195"/>
      <c r="D71" s="28"/>
      <c r="E71" s="209"/>
      <c r="F71" s="210"/>
      <c r="G71" s="30"/>
      <c r="H71" s="30"/>
      <c r="I71" s="210"/>
      <c r="J71" s="199"/>
      <c r="K71" s="31"/>
      <c r="L71" s="31"/>
      <c r="M71" s="31"/>
      <c r="N71" s="31"/>
      <c r="O71" s="211"/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2"/>
        <v>0</v>
      </c>
      <c r="Z71" s="106"/>
      <c r="AA71" s="33"/>
      <c r="AB71" s="36"/>
      <c r="AC71" s="89"/>
      <c r="AD71" s="106"/>
      <c r="AE71" s="35"/>
      <c r="AF71" s="36"/>
      <c r="AG71" s="89"/>
      <c r="AH71" s="106"/>
      <c r="AI71" s="33"/>
      <c r="AJ71" s="36"/>
      <c r="AK71" s="89"/>
      <c r="AL71" s="106"/>
      <c r="AM71" s="33"/>
      <c r="AN71" s="36"/>
      <c r="AO71" s="89"/>
      <c r="AP71" s="106"/>
      <c r="AQ71" s="33"/>
      <c r="AR71" s="36"/>
      <c r="AS71" s="89"/>
      <c r="AT71" s="37"/>
      <c r="AU71" s="201"/>
    </row>
    <row r="72" spans="2:47" s="26" customFormat="1" x14ac:dyDescent="0.25">
      <c r="B72" s="195">
        <v>57</v>
      </c>
      <c r="C72" s="195"/>
      <c r="D72" s="28"/>
      <c r="E72" s="209"/>
      <c r="F72" s="210"/>
      <c r="G72" s="30"/>
      <c r="H72" s="30"/>
      <c r="I72" s="210"/>
      <c r="J72" s="199"/>
      <c r="K72" s="31"/>
      <c r="L72" s="31"/>
      <c r="M72" s="31"/>
      <c r="N72" s="31"/>
      <c r="O72" s="211"/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2"/>
        <v>0</v>
      </c>
      <c r="Z72" s="106"/>
      <c r="AA72" s="33"/>
      <c r="AB72" s="36"/>
      <c r="AC72" s="89"/>
      <c r="AD72" s="106"/>
      <c r="AE72" s="35"/>
      <c r="AF72" s="36"/>
      <c r="AG72" s="89"/>
      <c r="AH72" s="106"/>
      <c r="AI72" s="33"/>
      <c r="AJ72" s="36"/>
      <c r="AK72" s="89"/>
      <c r="AL72" s="106"/>
      <c r="AM72" s="33"/>
      <c r="AN72" s="36"/>
      <c r="AO72" s="89"/>
      <c r="AP72" s="106"/>
      <c r="AQ72" s="33"/>
      <c r="AR72" s="36"/>
      <c r="AS72" s="89"/>
      <c r="AT72" s="37"/>
      <c r="AU72" s="201"/>
    </row>
    <row r="73" spans="2:47" s="26" customFormat="1" x14ac:dyDescent="0.25">
      <c r="B73" s="195">
        <v>58</v>
      </c>
      <c r="C73" s="195"/>
      <c r="D73" s="28"/>
      <c r="E73" s="209"/>
      <c r="F73" s="210"/>
      <c r="G73" s="30"/>
      <c r="H73" s="30"/>
      <c r="I73" s="210"/>
      <c r="J73" s="199"/>
      <c r="K73" s="31"/>
      <c r="L73" s="31"/>
      <c r="M73" s="31"/>
      <c r="N73" s="31"/>
      <c r="O73" s="211"/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2"/>
        <v>0</v>
      </c>
      <c r="Z73" s="106"/>
      <c r="AA73" s="33"/>
      <c r="AB73" s="36"/>
      <c r="AC73" s="89"/>
      <c r="AD73" s="106"/>
      <c r="AE73" s="35"/>
      <c r="AF73" s="36"/>
      <c r="AG73" s="89"/>
      <c r="AH73" s="106"/>
      <c r="AI73" s="33"/>
      <c r="AJ73" s="36"/>
      <c r="AK73" s="89"/>
      <c r="AL73" s="106"/>
      <c r="AM73" s="33"/>
      <c r="AN73" s="36"/>
      <c r="AO73" s="89"/>
      <c r="AP73" s="106"/>
      <c r="AQ73" s="33"/>
      <c r="AR73" s="36"/>
      <c r="AS73" s="89"/>
      <c r="AT73" s="37">
        <f t="shared" si="0"/>
        <v>0</v>
      </c>
      <c r="AU73" s="201">
        <f t="shared" si="1"/>
        <v>0</v>
      </c>
    </row>
    <row r="74" spans="2:47" s="26" customFormat="1" x14ac:dyDescent="0.25">
      <c r="B74" s="195">
        <v>59</v>
      </c>
      <c r="C74" s="195"/>
      <c r="D74" s="28"/>
      <c r="E74" s="209"/>
      <c r="F74" s="210"/>
      <c r="G74" s="30"/>
      <c r="H74" s="30"/>
      <c r="I74" s="210"/>
      <c r="J74" s="199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2"/>
        <v>0</v>
      </c>
      <c r="Z74" s="106"/>
      <c r="AA74" s="33"/>
      <c r="AB74" s="36"/>
      <c r="AC74" s="89"/>
      <c r="AD74" s="106"/>
      <c r="AE74" s="35"/>
      <c r="AF74" s="36"/>
      <c r="AG74" s="89"/>
      <c r="AH74" s="106"/>
      <c r="AI74" s="33"/>
      <c r="AJ74" s="36"/>
      <c r="AK74" s="89"/>
      <c r="AL74" s="106"/>
      <c r="AM74" s="33"/>
      <c r="AN74" s="36"/>
      <c r="AO74" s="89"/>
      <c r="AP74" s="106"/>
      <c r="AQ74" s="33"/>
      <c r="AR74" s="36"/>
      <c r="AS74" s="89"/>
      <c r="AT74" s="37">
        <f t="shared" si="0"/>
        <v>0</v>
      </c>
      <c r="AU74" s="201">
        <f t="shared" si="1"/>
        <v>0</v>
      </c>
    </row>
    <row r="75" spans="2:47" s="26" customFormat="1" x14ac:dyDescent="0.25">
      <c r="B75" s="195">
        <v>60</v>
      </c>
      <c r="C75" s="195"/>
      <c r="D75" s="28"/>
      <c r="E75" s="209"/>
      <c r="F75" s="210"/>
      <c r="G75" s="30"/>
      <c r="H75" s="30"/>
      <c r="I75" s="210"/>
      <c r="J75" s="199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2"/>
        <v>0</v>
      </c>
      <c r="Z75" s="106"/>
      <c r="AA75" s="33"/>
      <c r="AB75" s="36"/>
      <c r="AC75" s="89"/>
      <c r="AD75" s="106"/>
      <c r="AE75" s="35"/>
      <c r="AF75" s="36"/>
      <c r="AG75" s="89"/>
      <c r="AH75" s="106"/>
      <c r="AI75" s="33"/>
      <c r="AJ75" s="36"/>
      <c r="AK75" s="89"/>
      <c r="AL75" s="106"/>
      <c r="AM75" s="33"/>
      <c r="AN75" s="36"/>
      <c r="AO75" s="89"/>
      <c r="AP75" s="106"/>
      <c r="AQ75" s="33"/>
      <c r="AR75" s="36"/>
      <c r="AS75" s="89"/>
      <c r="AT75" s="37">
        <f t="shared" si="0"/>
        <v>0</v>
      </c>
      <c r="AU75" s="201">
        <f t="shared" si="1"/>
        <v>0</v>
      </c>
    </row>
    <row r="76" spans="2:47" s="26" customFormat="1" x14ac:dyDescent="0.25">
      <c r="B76" s="195"/>
      <c r="C76" s="195"/>
      <c r="D76" s="28"/>
      <c r="E76" s="209"/>
      <c r="F76" s="210"/>
      <c r="G76" s="30"/>
      <c r="H76" s="30"/>
      <c r="I76" s="209"/>
      <c r="J76" s="199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2"/>
        <v>0</v>
      </c>
      <c r="Z76" s="106"/>
      <c r="AA76" s="33"/>
      <c r="AB76" s="36"/>
      <c r="AC76" s="89"/>
      <c r="AD76" s="106"/>
      <c r="AE76" s="35"/>
      <c r="AF76" s="36"/>
      <c r="AG76" s="89"/>
      <c r="AH76" s="106"/>
      <c r="AI76" s="33"/>
      <c r="AJ76" s="36"/>
      <c r="AK76" s="89"/>
      <c r="AL76" s="106"/>
      <c r="AM76" s="33"/>
      <c r="AN76" s="36"/>
      <c r="AO76" s="89"/>
      <c r="AP76" s="106"/>
      <c r="AQ76" s="33"/>
      <c r="AR76" s="36"/>
      <c r="AS76" s="89"/>
      <c r="AT76" s="37">
        <f t="shared" si="0"/>
        <v>0</v>
      </c>
      <c r="AU76" s="201">
        <f t="shared" si="1"/>
        <v>0</v>
      </c>
    </row>
    <row r="77" spans="2:47" s="26" customFormat="1" x14ac:dyDescent="0.25">
      <c r="B77" s="195">
        <v>68</v>
      </c>
      <c r="C77" s="195"/>
      <c r="D77" s="28"/>
      <c r="E77" s="209"/>
      <c r="F77" s="209"/>
      <c r="G77" s="30"/>
      <c r="H77" s="30"/>
      <c r="I77" s="212"/>
      <c r="J77" s="212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2"/>
        <v>0</v>
      </c>
      <c r="Z77" s="106"/>
      <c r="AA77" s="33"/>
      <c r="AB77" s="36"/>
      <c r="AC77" s="89"/>
      <c r="AD77" s="106"/>
      <c r="AE77" s="35"/>
      <c r="AF77" s="36"/>
      <c r="AG77" s="89"/>
      <c r="AH77" s="106"/>
      <c r="AI77" s="33"/>
      <c r="AJ77" s="36"/>
      <c r="AK77" s="89"/>
      <c r="AL77" s="106"/>
      <c r="AM77" s="33"/>
      <c r="AN77" s="36"/>
      <c r="AO77" s="89"/>
      <c r="AP77" s="106"/>
      <c r="AQ77" s="33"/>
      <c r="AR77" s="36"/>
      <c r="AS77" s="89"/>
      <c r="AT77" s="37">
        <f t="shared" si="0"/>
        <v>0</v>
      </c>
      <c r="AU77" s="201">
        <f t="shared" si="1"/>
        <v>0</v>
      </c>
    </row>
    <row r="78" spans="2:47" ht="15" customHeight="1" x14ac:dyDescent="0.25">
      <c r="B78" s="519" t="s">
        <v>40</v>
      </c>
      <c r="C78" s="519"/>
      <c r="D78" s="519"/>
      <c r="E78" s="519"/>
      <c r="F78" s="519"/>
      <c r="G78" s="519"/>
      <c r="H78" s="519"/>
      <c r="I78" s="519"/>
      <c r="J78" s="213"/>
      <c r="K78" s="48">
        <f t="shared" ref="K78:Z78" si="3">SUBTOTAL(9,K16:K76)</f>
        <v>73967233</v>
      </c>
      <c r="L78" s="48">
        <f t="shared" si="3"/>
        <v>11863716</v>
      </c>
      <c r="M78" s="48">
        <f t="shared" si="3"/>
        <v>0</v>
      </c>
      <c r="N78" s="48">
        <f t="shared" si="3"/>
        <v>973762</v>
      </c>
      <c r="O78" s="48">
        <f t="shared" si="3"/>
        <v>380253</v>
      </c>
      <c r="P78" s="48">
        <f t="shared" si="3"/>
        <v>0</v>
      </c>
      <c r="Q78" s="48">
        <f t="shared" si="3"/>
        <v>0</v>
      </c>
      <c r="R78" s="48">
        <f t="shared" si="3"/>
        <v>0</v>
      </c>
      <c r="S78" s="48">
        <f t="shared" si="3"/>
        <v>0</v>
      </c>
      <c r="T78" s="48">
        <f t="shared" si="3"/>
        <v>0</v>
      </c>
      <c r="U78" s="48">
        <f t="shared" si="3"/>
        <v>0</v>
      </c>
      <c r="V78" s="48">
        <f t="shared" si="3"/>
        <v>0</v>
      </c>
      <c r="W78" s="48">
        <f t="shared" si="3"/>
        <v>0</v>
      </c>
      <c r="X78" s="48">
        <f t="shared" si="3"/>
        <v>0</v>
      </c>
      <c r="Y78" s="48">
        <f t="shared" si="3"/>
        <v>1354015</v>
      </c>
      <c r="Z78" s="48">
        <f t="shared" si="3"/>
        <v>22055864</v>
      </c>
      <c r="AA78" s="48"/>
      <c r="AB78" s="48"/>
      <c r="AC78" s="48"/>
      <c r="AD78" s="48">
        <f>SUBTOTAL(9,AD16:AD76)</f>
        <v>-1670609</v>
      </c>
      <c r="AE78" s="48"/>
      <c r="AF78" s="48"/>
      <c r="AG78" s="48"/>
      <c r="AH78" s="48">
        <f>SUBTOTAL(9,AH16:AH76)</f>
        <v>-720442</v>
      </c>
      <c r="AI78" s="48"/>
      <c r="AJ78" s="48"/>
      <c r="AK78" s="48"/>
      <c r="AL78" s="48">
        <f>SUBTOTAL(9,AL16:AL76)</f>
        <v>-70286</v>
      </c>
      <c r="AM78" s="48"/>
      <c r="AN78" s="48"/>
      <c r="AO78" s="48"/>
      <c r="AP78" s="48">
        <f t="shared" ref="AP78:AU78" si="4">SUBTOTAL(9,AP16:AP76)</f>
        <v>0</v>
      </c>
      <c r="AQ78" s="48">
        <f t="shared" si="4"/>
        <v>0</v>
      </c>
      <c r="AR78" s="48">
        <f t="shared" si="4"/>
        <v>0</v>
      </c>
      <c r="AS78" s="48">
        <f t="shared" si="4"/>
        <v>0</v>
      </c>
      <c r="AT78" s="48">
        <f t="shared" si="4"/>
        <v>19594527</v>
      </c>
      <c r="AU78" s="48">
        <f t="shared" si="4"/>
        <v>18240512</v>
      </c>
    </row>
  </sheetData>
  <mergeCells count="14">
    <mergeCell ref="AT14:AU14"/>
    <mergeCell ref="B78:I78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51:D54 D69:D76">
    <cfRule type="duplicateValues" dxfId="96" priority="37"/>
  </conditionalFormatting>
  <conditionalFormatting sqref="D51:D54">
    <cfRule type="duplicateValues" dxfId="95" priority="38"/>
  </conditionalFormatting>
  <conditionalFormatting sqref="D77">
    <cfRule type="duplicateValues" dxfId="94" priority="39"/>
  </conditionalFormatting>
  <conditionalFormatting sqref="D50">
    <cfRule type="duplicateValues" dxfId="93" priority="35" stopIfTrue="1"/>
  </conditionalFormatting>
  <conditionalFormatting sqref="D47">
    <cfRule type="duplicateValues" dxfId="92" priority="30" stopIfTrue="1"/>
  </conditionalFormatting>
  <conditionalFormatting sqref="D32">
    <cfRule type="duplicateValues" dxfId="91" priority="29" stopIfTrue="1"/>
  </conditionalFormatting>
  <conditionalFormatting sqref="D42">
    <cfRule type="duplicateValues" dxfId="90" priority="28" stopIfTrue="1"/>
  </conditionalFormatting>
  <conditionalFormatting sqref="D49">
    <cfRule type="duplicateValues" dxfId="89" priority="31" stopIfTrue="1"/>
  </conditionalFormatting>
  <conditionalFormatting sqref="D33">
    <cfRule type="duplicateValues" dxfId="88" priority="32" stopIfTrue="1"/>
  </conditionalFormatting>
  <conditionalFormatting sqref="D44 D46">
    <cfRule type="duplicateValues" dxfId="87" priority="27" stopIfTrue="1"/>
  </conditionalFormatting>
  <conditionalFormatting sqref="D45">
    <cfRule type="duplicateValues" dxfId="86" priority="33" stopIfTrue="1"/>
  </conditionalFormatting>
  <conditionalFormatting sqref="D38">
    <cfRule type="duplicateValues" dxfId="85" priority="20" stopIfTrue="1"/>
  </conditionalFormatting>
  <conditionalFormatting sqref="D43">
    <cfRule type="duplicateValues" dxfId="84" priority="21" stopIfTrue="1"/>
  </conditionalFormatting>
  <conditionalFormatting sqref="D37">
    <cfRule type="duplicateValues" dxfId="83" priority="18" stopIfTrue="1"/>
  </conditionalFormatting>
  <conditionalFormatting sqref="D20">
    <cfRule type="duplicateValues" dxfId="82" priority="19" stopIfTrue="1"/>
  </conditionalFormatting>
  <conditionalFormatting sqref="D21">
    <cfRule type="duplicateValues" dxfId="81" priority="17" stopIfTrue="1"/>
  </conditionalFormatting>
  <conditionalFormatting sqref="D18:D19">
    <cfRule type="duplicateValues" dxfId="80" priority="22" stopIfTrue="1"/>
  </conditionalFormatting>
  <conditionalFormatting sqref="D25">
    <cfRule type="duplicateValues" dxfId="79" priority="23" stopIfTrue="1"/>
  </conditionalFormatting>
  <conditionalFormatting sqref="D40">
    <cfRule type="duplicateValues" dxfId="78" priority="24" stopIfTrue="1"/>
  </conditionalFormatting>
  <conditionalFormatting sqref="D30 D27">
    <cfRule type="duplicateValues" dxfId="77" priority="16" stopIfTrue="1"/>
  </conditionalFormatting>
  <conditionalFormatting sqref="D29">
    <cfRule type="duplicateValues" dxfId="76" priority="25" stopIfTrue="1"/>
  </conditionalFormatting>
  <conditionalFormatting sqref="D41 D39 D35">
    <cfRule type="duplicateValues" dxfId="75" priority="15" stopIfTrue="1"/>
  </conditionalFormatting>
  <conditionalFormatting sqref="D48">
    <cfRule type="duplicateValues" dxfId="74" priority="26" stopIfTrue="1"/>
  </conditionalFormatting>
  <conditionalFormatting sqref="D36">
    <cfRule type="duplicateValues" dxfId="73" priority="14" stopIfTrue="1"/>
  </conditionalFormatting>
  <conditionalFormatting sqref="D31">
    <cfRule type="duplicateValues" dxfId="72" priority="34" stopIfTrue="1"/>
  </conditionalFormatting>
  <conditionalFormatting sqref="D23:D24 D28 D26">
    <cfRule type="duplicateValues" dxfId="71" priority="36" stopIfTrue="1"/>
  </conditionalFormatting>
  <conditionalFormatting sqref="D62">
    <cfRule type="duplicateValues" dxfId="70" priority="12" stopIfTrue="1"/>
  </conditionalFormatting>
  <conditionalFormatting sqref="D55">
    <cfRule type="duplicateValues" dxfId="69" priority="11" stopIfTrue="1"/>
  </conditionalFormatting>
  <conditionalFormatting sqref="D60">
    <cfRule type="duplicateValues" dxfId="68" priority="9" stopIfTrue="1"/>
  </conditionalFormatting>
  <conditionalFormatting sqref="D63">
    <cfRule type="duplicateValues" dxfId="67" priority="10" stopIfTrue="1"/>
  </conditionalFormatting>
  <conditionalFormatting sqref="D59">
    <cfRule type="duplicateValues" dxfId="66" priority="8" stopIfTrue="1"/>
  </conditionalFormatting>
  <conditionalFormatting sqref="D61">
    <cfRule type="duplicateValues" dxfId="65" priority="7" stopIfTrue="1"/>
  </conditionalFormatting>
  <conditionalFormatting sqref="D58">
    <cfRule type="duplicateValues" dxfId="64" priority="6" stopIfTrue="1"/>
  </conditionalFormatting>
  <conditionalFormatting sqref="D56">
    <cfRule type="duplicateValues" dxfId="63" priority="13" stopIfTrue="1"/>
  </conditionalFormatting>
  <conditionalFormatting sqref="D65">
    <cfRule type="duplicateValues" dxfId="62" priority="5" stopIfTrue="1"/>
  </conditionalFormatting>
  <conditionalFormatting sqref="D64">
    <cfRule type="duplicateValues" dxfId="61" priority="4" stopIfTrue="1"/>
  </conditionalFormatting>
  <conditionalFormatting sqref="D66">
    <cfRule type="duplicateValues" dxfId="60" priority="3" stopIfTrue="1"/>
  </conditionalFormatting>
  <conditionalFormatting sqref="D68">
    <cfRule type="duplicateValues" dxfId="59" priority="2" stopIfTrue="1"/>
  </conditionalFormatting>
  <conditionalFormatting sqref="D67">
    <cfRule type="duplicateValues" dxfId="58" priority="1" stopIfTrue="1"/>
  </conditionalFormatting>
  <pageMargins left="0.7" right="0.7" top="0.75" bottom="0.75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FG67"/>
  <sheetViews>
    <sheetView topLeftCell="A9" zoomScaleNormal="100" workbookViewId="0">
      <pane ySplit="7" topLeftCell="A46" activePane="bottomLeft" state="frozen"/>
      <selection activeCell="A9" sqref="A9"/>
      <selection pane="bottomLeft" activeCell="G16" sqref="G16"/>
    </sheetView>
  </sheetViews>
  <sheetFormatPr baseColWidth="10" defaultRowHeight="11.25" x14ac:dyDescent="0.2"/>
  <cols>
    <col min="1" max="1" width="5" style="113" customWidth="1"/>
    <col min="2" max="2" width="10.140625" style="127" customWidth="1"/>
    <col min="3" max="3" width="9.85546875" style="113" customWidth="1"/>
    <col min="4" max="4" width="11.42578125" style="127" customWidth="1"/>
    <col min="5" max="5" width="37" style="113" customWidth="1"/>
    <col min="6" max="6" width="13.140625" style="113" customWidth="1"/>
    <col min="7" max="7" width="15.140625" style="113" customWidth="1"/>
    <col min="8" max="8" width="18.85546875" style="113" customWidth="1"/>
    <col min="9" max="10" width="9.7109375" style="113" customWidth="1"/>
    <col min="11" max="25" width="12" style="113" customWidth="1"/>
    <col min="26" max="26" width="10.140625" style="113" customWidth="1"/>
    <col min="27" max="27" width="10.140625" style="122" customWidth="1"/>
    <col min="28" max="30" width="10.140625" style="113" customWidth="1"/>
    <col min="31" max="31" width="10.140625" style="121" customWidth="1"/>
    <col min="32" max="34" width="10.140625" style="113" customWidth="1"/>
    <col min="35" max="35" width="10.140625" style="122" customWidth="1"/>
    <col min="36" max="37" width="10.140625" style="113" customWidth="1"/>
    <col min="38" max="38" width="11.85546875" style="113" customWidth="1"/>
    <col min="39" max="39" width="11.140625" style="122" customWidth="1"/>
    <col min="40" max="42" width="10.140625" style="113" customWidth="1"/>
    <col min="43" max="43" width="10.140625" style="122" customWidth="1"/>
    <col min="44" max="45" width="10.140625" style="113" customWidth="1"/>
    <col min="46" max="47" width="13" style="113" bestFit="1" customWidth="1"/>
    <col min="48" max="16384" width="11.42578125" style="113"/>
  </cols>
  <sheetData>
    <row r="1" spans="2:163" hidden="1" x14ac:dyDescent="0.2">
      <c r="B1" s="114"/>
      <c r="C1" s="114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6"/>
      <c r="AF1" s="115"/>
      <c r="AG1" s="115"/>
      <c r="AH1" s="115"/>
      <c r="AI1" s="117"/>
      <c r="AJ1" s="115"/>
      <c r="AK1" s="115"/>
      <c r="AL1" s="115"/>
      <c r="AM1" s="117"/>
      <c r="AN1" s="115"/>
      <c r="AO1" s="115"/>
      <c r="AP1" s="115"/>
      <c r="AQ1" s="117"/>
      <c r="AR1" s="115"/>
      <c r="AS1" s="115"/>
    </row>
    <row r="2" spans="2:163" hidden="1" x14ac:dyDescent="0.2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6"/>
      <c r="AF2" s="115"/>
      <c r="AG2" s="115"/>
      <c r="AH2" s="115"/>
      <c r="AI2" s="117"/>
      <c r="AJ2" s="115"/>
      <c r="AK2" s="115"/>
      <c r="AL2" s="115"/>
      <c r="AM2" s="117"/>
      <c r="AN2" s="115"/>
      <c r="AO2" s="115"/>
      <c r="AP2" s="115"/>
      <c r="AQ2" s="117"/>
      <c r="AR2" s="115"/>
      <c r="AS2" s="115"/>
    </row>
    <row r="3" spans="2:163" ht="12.75" hidden="1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9"/>
      <c r="AF3" s="118"/>
      <c r="AG3" s="118"/>
      <c r="AH3" s="118"/>
      <c r="AI3" s="120"/>
      <c r="AJ3" s="118"/>
      <c r="AK3" s="118"/>
      <c r="AL3" s="118"/>
      <c r="AM3" s="120"/>
      <c r="AN3" s="118"/>
      <c r="AO3" s="118"/>
      <c r="AP3" s="118"/>
      <c r="AQ3" s="120"/>
      <c r="AR3" s="118"/>
      <c r="AS3" s="118"/>
    </row>
    <row r="4" spans="2:163" ht="21.75" hidden="1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9"/>
      <c r="AF4" s="118"/>
      <c r="AG4" s="118"/>
      <c r="AH4" s="118"/>
      <c r="AI4" s="120"/>
      <c r="AJ4" s="118"/>
      <c r="AK4" s="118"/>
      <c r="AL4" s="118"/>
      <c r="AM4" s="120"/>
      <c r="AN4" s="118"/>
      <c r="AO4" s="118"/>
      <c r="AP4" s="118"/>
      <c r="AQ4" s="120"/>
      <c r="AR4" s="118"/>
      <c r="AS4" s="118"/>
    </row>
    <row r="5" spans="2:163" ht="11.25" hidden="1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9"/>
      <c r="AF5" s="118"/>
      <c r="AG5" s="118"/>
      <c r="AH5" s="118"/>
      <c r="AI5" s="120"/>
      <c r="AJ5" s="118"/>
      <c r="AK5" s="118"/>
      <c r="AL5" s="118"/>
      <c r="AM5" s="120"/>
      <c r="AN5" s="118"/>
      <c r="AO5" s="118"/>
      <c r="AP5" s="118"/>
      <c r="AQ5" s="120"/>
      <c r="AR5" s="118"/>
      <c r="AS5" s="118"/>
    </row>
    <row r="6" spans="2:163" ht="15" hidden="1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9"/>
      <c r="AF6" s="118"/>
      <c r="AG6" s="118"/>
      <c r="AH6" s="118"/>
      <c r="AI6" s="120"/>
      <c r="AJ6" s="118"/>
      <c r="AK6" s="118"/>
      <c r="AL6" s="118"/>
      <c r="AM6" s="120"/>
      <c r="AN6" s="118"/>
      <c r="AO6" s="118"/>
      <c r="AP6" s="118"/>
      <c r="AQ6" s="120"/>
      <c r="AR6" s="118"/>
      <c r="AS6" s="118"/>
    </row>
    <row r="7" spans="2:163" ht="21" hidden="1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9"/>
      <c r="AF7" s="118"/>
      <c r="AG7" s="118"/>
      <c r="AH7" s="118"/>
      <c r="AI7" s="120"/>
      <c r="AJ7" s="118"/>
      <c r="AK7" s="118"/>
      <c r="AL7" s="118"/>
      <c r="AM7" s="120"/>
      <c r="AN7" s="118"/>
      <c r="AO7" s="118"/>
      <c r="AP7" s="118"/>
      <c r="AQ7" s="120"/>
      <c r="AR7" s="118"/>
      <c r="AS7" s="118"/>
    </row>
    <row r="8" spans="2:163" ht="16.5" hidden="1" customHeight="1" x14ac:dyDescent="0.2"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9"/>
      <c r="AF8" s="118"/>
      <c r="AG8" s="118"/>
      <c r="AH8" s="118"/>
      <c r="AI8" s="120"/>
      <c r="AJ8" s="118"/>
      <c r="AK8" s="118"/>
      <c r="AL8" s="118"/>
      <c r="AM8" s="120"/>
      <c r="AN8" s="118"/>
      <c r="AO8" s="118"/>
      <c r="AP8" s="118"/>
      <c r="AQ8" s="120"/>
      <c r="AR8" s="118"/>
      <c r="AS8" s="118"/>
    </row>
    <row r="9" spans="2:163" s="4" customFormat="1" ht="18.75" customHeight="1" x14ac:dyDescent="0.2">
      <c r="B9" s="527" t="s">
        <v>0</v>
      </c>
      <c r="C9" s="527"/>
      <c r="D9" s="527"/>
      <c r="E9" s="527"/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7"/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109"/>
      <c r="AE9" s="141"/>
      <c r="AF9" s="142"/>
      <c r="AG9" s="142"/>
      <c r="AH9" s="142"/>
      <c r="AI9" s="143"/>
      <c r="AJ9" s="142"/>
      <c r="AK9" s="142"/>
      <c r="AL9" s="142"/>
      <c r="AM9" s="143"/>
      <c r="AN9" s="142"/>
      <c r="AO9" s="142"/>
      <c r="AP9" s="142"/>
      <c r="AQ9" s="143"/>
      <c r="AR9" s="142"/>
      <c r="AS9" s="142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  <c r="BV9" s="139"/>
      <c r="BW9" s="139"/>
      <c r="BX9" s="139"/>
      <c r="BY9" s="139"/>
      <c r="BZ9" s="139"/>
      <c r="CA9" s="139"/>
      <c r="CB9" s="139"/>
      <c r="CC9" s="139"/>
      <c r="CD9" s="139"/>
      <c r="CE9" s="139"/>
      <c r="CF9" s="139"/>
      <c r="CG9" s="139"/>
      <c r="CH9" s="139"/>
      <c r="CI9" s="139"/>
      <c r="CJ9" s="139"/>
      <c r="CK9" s="139"/>
      <c r="CL9" s="139"/>
      <c r="CM9" s="139"/>
      <c r="CN9" s="139"/>
      <c r="CO9" s="139"/>
      <c r="CP9" s="139"/>
      <c r="CQ9" s="139"/>
      <c r="CR9" s="139"/>
      <c r="CS9" s="139"/>
      <c r="CT9" s="139"/>
      <c r="CU9" s="139"/>
      <c r="CV9" s="139"/>
      <c r="CW9" s="139"/>
      <c r="CX9" s="139"/>
      <c r="CY9" s="139"/>
      <c r="CZ9" s="139"/>
      <c r="DA9" s="139"/>
      <c r="DB9" s="139"/>
      <c r="DC9" s="139"/>
      <c r="DD9" s="139"/>
      <c r="DE9" s="139"/>
      <c r="DF9" s="139"/>
      <c r="DG9" s="139"/>
      <c r="DH9" s="139"/>
      <c r="DI9" s="139"/>
      <c r="DJ9" s="139"/>
      <c r="DK9" s="139"/>
      <c r="DL9" s="139"/>
      <c r="DM9" s="139"/>
      <c r="DN9" s="139"/>
      <c r="DO9" s="139"/>
      <c r="DP9" s="139"/>
      <c r="DQ9" s="139"/>
      <c r="DR9" s="139"/>
      <c r="DS9" s="139"/>
      <c r="DT9" s="139"/>
      <c r="DU9" s="139"/>
      <c r="DV9" s="139"/>
      <c r="DW9" s="139"/>
      <c r="DX9" s="139"/>
      <c r="DY9" s="139"/>
      <c r="DZ9" s="139"/>
      <c r="EA9" s="139"/>
      <c r="EB9" s="139"/>
      <c r="EC9" s="139"/>
      <c r="ED9" s="139"/>
      <c r="EE9" s="139"/>
      <c r="EF9" s="139"/>
      <c r="EG9" s="139"/>
      <c r="EH9" s="139"/>
      <c r="EI9" s="139"/>
      <c r="EJ9" s="139"/>
      <c r="EK9" s="139"/>
      <c r="EL9" s="139"/>
      <c r="EM9" s="139"/>
      <c r="EN9" s="139"/>
      <c r="EO9" s="139"/>
      <c r="EP9" s="139"/>
      <c r="EQ9" s="139"/>
      <c r="ER9" s="139"/>
      <c r="ES9" s="139"/>
      <c r="ET9" s="139"/>
      <c r="EU9" s="139"/>
      <c r="EV9" s="139"/>
      <c r="EW9" s="139"/>
      <c r="EX9" s="139"/>
      <c r="EY9" s="139"/>
      <c r="EZ9" s="139"/>
      <c r="FA9" s="139"/>
      <c r="FB9" s="139"/>
      <c r="FC9" s="139"/>
      <c r="FD9" s="139"/>
      <c r="FE9" s="139"/>
      <c r="FF9" s="139"/>
      <c r="FG9" s="139"/>
    </row>
    <row r="10" spans="2:163" ht="11.25" customHeight="1" x14ac:dyDescent="0.2">
      <c r="B10" s="527"/>
      <c r="C10" s="527"/>
      <c r="D10" s="527"/>
      <c r="E10" s="527"/>
      <c r="F10" s="527"/>
      <c r="G10" s="527"/>
      <c r="H10" s="527"/>
      <c r="I10" s="527"/>
      <c r="J10" s="527"/>
      <c r="K10" s="527"/>
      <c r="L10" s="527"/>
      <c r="M10" s="527"/>
      <c r="N10" s="527"/>
      <c r="O10" s="527"/>
      <c r="P10" s="527"/>
      <c r="Q10" s="527"/>
      <c r="R10" s="527"/>
      <c r="S10" s="527"/>
      <c r="T10" s="527"/>
      <c r="U10" s="527"/>
      <c r="V10" s="527"/>
      <c r="W10" s="527"/>
      <c r="X10" s="527"/>
      <c r="Y10" s="527"/>
      <c r="Z10" s="527"/>
      <c r="AA10" s="527"/>
      <c r="AB10" s="527"/>
      <c r="AC10" s="527"/>
    </row>
    <row r="11" spans="2:163" ht="18.75" x14ac:dyDescent="0.2"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</row>
    <row r="12" spans="2:163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24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</row>
    <row r="13" spans="2:163" ht="18.75" x14ac:dyDescent="0.2">
      <c r="B13" s="15">
        <v>55539505</v>
      </c>
      <c r="C13" s="15">
        <v>33046697</v>
      </c>
      <c r="D13" s="15">
        <v>33046697</v>
      </c>
      <c r="E13" s="35">
        <f>+Y64</f>
        <v>4498964</v>
      </c>
      <c r="F13" s="125"/>
      <c r="G13" s="126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</row>
    <row r="14" spans="2:163" ht="15" customHeight="1" x14ac:dyDescent="0.2">
      <c r="C14" s="128"/>
      <c r="D14" s="129"/>
      <c r="E14" s="128"/>
      <c r="F14" s="128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163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107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87" t="s">
        <v>36</v>
      </c>
      <c r="AE15" s="25" t="s">
        <v>33</v>
      </c>
      <c r="AF15" s="24" t="s">
        <v>34</v>
      </c>
      <c r="AG15" s="24" t="s">
        <v>35</v>
      </c>
      <c r="AH15" s="87" t="s">
        <v>36</v>
      </c>
      <c r="AI15" s="25" t="s">
        <v>33</v>
      </c>
      <c r="AJ15" s="24" t="s">
        <v>34</v>
      </c>
      <c r="AK15" s="24" t="s">
        <v>35</v>
      </c>
      <c r="AL15" s="87" t="s">
        <v>36</v>
      </c>
      <c r="AM15" s="25" t="s">
        <v>33</v>
      </c>
      <c r="AN15" s="24" t="s">
        <v>34</v>
      </c>
      <c r="AO15" s="24" t="s">
        <v>35</v>
      </c>
      <c r="AP15" s="87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  <c r="EI15" s="140"/>
      <c r="EJ15" s="140"/>
      <c r="EK15" s="140"/>
      <c r="EL15" s="140"/>
      <c r="EM15" s="140"/>
      <c r="EN15" s="140"/>
      <c r="EO15" s="140"/>
      <c r="EP15" s="140"/>
      <c r="EQ15" s="140"/>
      <c r="ER15" s="140"/>
      <c r="ES15" s="140"/>
      <c r="ET15" s="140"/>
      <c r="EU15" s="140"/>
      <c r="EV15" s="140"/>
      <c r="EW15" s="140"/>
      <c r="EX15" s="140"/>
      <c r="EY15" s="140"/>
      <c r="EZ15" s="140"/>
      <c r="FA15" s="140"/>
      <c r="FB15" s="140"/>
      <c r="FC15" s="140"/>
      <c r="FD15" s="140"/>
      <c r="FE15" s="140"/>
      <c r="FF15" s="140"/>
      <c r="FG15" s="140"/>
    </row>
    <row r="16" spans="2:163" s="130" customFormat="1" ht="22.5" x14ac:dyDescent="0.25">
      <c r="B16" s="131">
        <v>1</v>
      </c>
      <c r="C16" s="131" t="s">
        <v>39</v>
      </c>
      <c r="D16" s="288">
        <v>30075677</v>
      </c>
      <c r="E16" s="289" t="s">
        <v>451</v>
      </c>
      <c r="F16" s="289" t="s">
        <v>147</v>
      </c>
      <c r="G16" s="290" t="s">
        <v>452</v>
      </c>
      <c r="H16" s="290" t="s">
        <v>453</v>
      </c>
      <c r="I16" s="291" t="s">
        <v>57</v>
      </c>
      <c r="J16" s="291">
        <v>16591999</v>
      </c>
      <c r="K16" s="292">
        <v>11413</v>
      </c>
      <c r="L16" s="292">
        <v>7663996</v>
      </c>
      <c r="M16" s="292">
        <v>0</v>
      </c>
      <c r="N16" s="292">
        <v>0</v>
      </c>
      <c r="O16" s="292">
        <v>0</v>
      </c>
      <c r="P16" s="292">
        <v>0</v>
      </c>
      <c r="Q16" s="292">
        <v>0</v>
      </c>
      <c r="R16" s="292">
        <v>0</v>
      </c>
      <c r="S16" s="292">
        <v>0</v>
      </c>
      <c r="T16" s="292">
        <v>0</v>
      </c>
      <c r="U16" s="292">
        <v>0</v>
      </c>
      <c r="V16" s="292">
        <v>0</v>
      </c>
      <c r="W16" s="292">
        <v>0</v>
      </c>
      <c r="X16" s="292">
        <v>0</v>
      </c>
      <c r="Y16" s="292">
        <f t="shared" ref="Y16:Y63" si="0">SUM(M16:X16)</f>
        <v>0</v>
      </c>
      <c r="Z16" s="293">
        <v>843200</v>
      </c>
      <c r="AA16" s="294">
        <v>1</v>
      </c>
      <c r="AB16" s="295">
        <v>44201</v>
      </c>
      <c r="AC16" s="296">
        <v>44221</v>
      </c>
      <c r="AD16" s="293"/>
      <c r="AE16" s="297"/>
      <c r="AF16" s="295"/>
      <c r="AG16" s="296"/>
      <c r="AH16" s="293"/>
      <c r="AI16" s="294"/>
      <c r="AJ16" s="298"/>
      <c r="AK16" s="296"/>
      <c r="AL16" s="293"/>
      <c r="AM16" s="294"/>
      <c r="AN16" s="298"/>
      <c r="AO16" s="296"/>
      <c r="AP16" s="293"/>
      <c r="AQ16" s="294"/>
      <c r="AR16" s="298"/>
      <c r="AS16" s="296"/>
      <c r="AT16" s="132">
        <f t="shared" ref="AT16:AT63" si="1">+Z16+AD16+AH16+AL16+AP16</f>
        <v>843200</v>
      </c>
      <c r="AU16" s="299">
        <f t="shared" ref="AU16:AU63" si="2">+AT16-Y16</f>
        <v>843200</v>
      </c>
    </row>
    <row r="17" spans="2:47" s="130" customFormat="1" ht="22.5" x14ac:dyDescent="0.25">
      <c r="B17" s="131">
        <v>2</v>
      </c>
      <c r="C17" s="131" t="s">
        <v>39</v>
      </c>
      <c r="D17" s="288">
        <v>30076880</v>
      </c>
      <c r="E17" s="289" t="s">
        <v>454</v>
      </c>
      <c r="F17" s="289" t="s">
        <v>167</v>
      </c>
      <c r="G17" s="290" t="s">
        <v>452</v>
      </c>
      <c r="H17" s="290" t="s">
        <v>455</v>
      </c>
      <c r="I17" s="291" t="s">
        <v>57</v>
      </c>
      <c r="J17" s="291">
        <v>85068</v>
      </c>
      <c r="K17" s="292">
        <v>77079</v>
      </c>
      <c r="L17" s="292">
        <v>0</v>
      </c>
      <c r="M17" s="292">
        <v>0</v>
      </c>
      <c r="N17" s="292">
        <v>0</v>
      </c>
      <c r="O17" s="292">
        <v>0</v>
      </c>
      <c r="P17" s="292">
        <v>0</v>
      </c>
      <c r="Q17" s="292">
        <v>0</v>
      </c>
      <c r="R17" s="292">
        <v>0</v>
      </c>
      <c r="S17" s="292">
        <v>0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f t="shared" si="0"/>
        <v>0</v>
      </c>
      <c r="Z17" s="293">
        <v>7989</v>
      </c>
      <c r="AA17" s="294">
        <v>1</v>
      </c>
      <c r="AB17" s="295">
        <v>44201</v>
      </c>
      <c r="AC17" s="296">
        <v>44221</v>
      </c>
      <c r="AD17" s="293"/>
      <c r="AE17" s="297"/>
      <c r="AF17" s="298"/>
      <c r="AG17" s="296"/>
      <c r="AH17" s="293"/>
      <c r="AI17" s="294"/>
      <c r="AJ17" s="298"/>
      <c r="AK17" s="296"/>
      <c r="AL17" s="293"/>
      <c r="AM17" s="294"/>
      <c r="AN17" s="298"/>
      <c r="AO17" s="296"/>
      <c r="AP17" s="293"/>
      <c r="AQ17" s="294"/>
      <c r="AR17" s="298"/>
      <c r="AS17" s="296"/>
      <c r="AT17" s="132">
        <f t="shared" si="1"/>
        <v>7989</v>
      </c>
      <c r="AU17" s="299">
        <f t="shared" si="2"/>
        <v>7989</v>
      </c>
    </row>
    <row r="18" spans="2:47" s="130" customFormat="1" ht="22.5" x14ac:dyDescent="0.25">
      <c r="B18" s="131">
        <v>3</v>
      </c>
      <c r="C18" s="131" t="s">
        <v>39</v>
      </c>
      <c r="D18" s="288">
        <v>30076886</v>
      </c>
      <c r="E18" s="289" t="s">
        <v>456</v>
      </c>
      <c r="F18" s="289" t="s">
        <v>167</v>
      </c>
      <c r="G18" s="290" t="s">
        <v>452</v>
      </c>
      <c r="H18" s="290" t="s">
        <v>457</v>
      </c>
      <c r="I18" s="291" t="s">
        <v>57</v>
      </c>
      <c r="J18" s="291">
        <v>94749</v>
      </c>
      <c r="K18" s="292">
        <v>85851</v>
      </c>
      <c r="L18" s="292">
        <v>0</v>
      </c>
      <c r="M18" s="292">
        <v>0</v>
      </c>
      <c r="N18" s="292">
        <v>0</v>
      </c>
      <c r="O18" s="292">
        <v>0</v>
      </c>
      <c r="P18" s="292">
        <v>0</v>
      </c>
      <c r="Q18" s="292">
        <v>0</v>
      </c>
      <c r="R18" s="292">
        <v>0</v>
      </c>
      <c r="S18" s="292">
        <v>0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f t="shared" si="0"/>
        <v>0</v>
      </c>
      <c r="Z18" s="293">
        <v>8898</v>
      </c>
      <c r="AA18" s="294">
        <v>1</v>
      </c>
      <c r="AB18" s="295">
        <v>44201</v>
      </c>
      <c r="AC18" s="296">
        <v>44221</v>
      </c>
      <c r="AD18" s="300"/>
      <c r="AE18" s="297"/>
      <c r="AF18" s="295"/>
      <c r="AG18" s="296"/>
      <c r="AH18" s="300"/>
      <c r="AI18" s="294"/>
      <c r="AJ18" s="295"/>
      <c r="AK18" s="296"/>
      <c r="AL18" s="300"/>
      <c r="AM18" s="294"/>
      <c r="AN18" s="295"/>
      <c r="AO18" s="296"/>
      <c r="AP18" s="300"/>
      <c r="AQ18" s="294"/>
      <c r="AR18" s="295"/>
      <c r="AS18" s="296"/>
      <c r="AT18" s="132">
        <f t="shared" si="1"/>
        <v>8898</v>
      </c>
      <c r="AU18" s="299">
        <f t="shared" si="2"/>
        <v>8898</v>
      </c>
    </row>
    <row r="19" spans="2:47" s="130" customFormat="1" x14ac:dyDescent="0.25">
      <c r="B19" s="131">
        <v>4</v>
      </c>
      <c r="C19" s="131" t="s">
        <v>39</v>
      </c>
      <c r="D19" s="288">
        <v>30086885</v>
      </c>
      <c r="E19" s="289" t="s">
        <v>458</v>
      </c>
      <c r="F19" s="289" t="s">
        <v>147</v>
      </c>
      <c r="G19" s="290" t="s">
        <v>452</v>
      </c>
      <c r="H19" s="290" t="s">
        <v>459</v>
      </c>
      <c r="I19" s="291" t="s">
        <v>57</v>
      </c>
      <c r="J19" s="291">
        <v>6478580</v>
      </c>
      <c r="K19" s="292">
        <v>6398902</v>
      </c>
      <c r="L19" s="292">
        <v>0</v>
      </c>
      <c r="M19" s="292">
        <v>0</v>
      </c>
      <c r="N19" s="292">
        <v>0</v>
      </c>
      <c r="O19" s="292">
        <v>0</v>
      </c>
      <c r="P19" s="292">
        <v>0</v>
      </c>
      <c r="Q19" s="292">
        <v>0</v>
      </c>
      <c r="R19" s="292">
        <v>0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0</v>
      </c>
      <c r="Y19" s="292">
        <f t="shared" si="0"/>
        <v>0</v>
      </c>
      <c r="Z19" s="293">
        <v>79678</v>
      </c>
      <c r="AA19" s="294">
        <v>1</v>
      </c>
      <c r="AB19" s="295">
        <v>44201</v>
      </c>
      <c r="AC19" s="296">
        <v>44221</v>
      </c>
      <c r="AD19" s="293"/>
      <c r="AE19" s="297"/>
      <c r="AF19" s="295"/>
      <c r="AG19" s="296"/>
      <c r="AH19" s="292"/>
      <c r="AI19" s="294"/>
      <c r="AJ19" s="295"/>
      <c r="AK19" s="296"/>
      <c r="AL19" s="292"/>
      <c r="AM19" s="294"/>
      <c r="AN19" s="295"/>
      <c r="AO19" s="296"/>
      <c r="AP19" s="292"/>
      <c r="AQ19" s="294"/>
      <c r="AR19" s="295"/>
      <c r="AS19" s="296"/>
      <c r="AT19" s="132">
        <f t="shared" si="1"/>
        <v>79678</v>
      </c>
      <c r="AU19" s="299">
        <f t="shared" si="2"/>
        <v>79678</v>
      </c>
    </row>
    <row r="20" spans="2:47" s="130" customFormat="1" ht="22.5" x14ac:dyDescent="0.25">
      <c r="B20" s="131">
        <v>5</v>
      </c>
      <c r="C20" s="131" t="s">
        <v>39</v>
      </c>
      <c r="D20" s="288">
        <v>30087356</v>
      </c>
      <c r="E20" s="289" t="s">
        <v>460</v>
      </c>
      <c r="F20" s="289" t="s">
        <v>147</v>
      </c>
      <c r="G20" s="290" t="s">
        <v>452</v>
      </c>
      <c r="H20" s="290" t="s">
        <v>453</v>
      </c>
      <c r="I20" s="291" t="s">
        <v>57</v>
      </c>
      <c r="J20" s="291">
        <v>2471840</v>
      </c>
      <c r="K20" s="292">
        <v>2462517</v>
      </c>
      <c r="L20" s="292">
        <v>0</v>
      </c>
      <c r="M20" s="292">
        <v>0</v>
      </c>
      <c r="N20" s="292">
        <v>0</v>
      </c>
      <c r="O20" s="292">
        <v>0</v>
      </c>
      <c r="P20" s="292">
        <v>0</v>
      </c>
      <c r="Q20" s="292">
        <v>0</v>
      </c>
      <c r="R20" s="292">
        <v>0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f t="shared" si="0"/>
        <v>0</v>
      </c>
      <c r="Z20" s="293">
        <v>9323</v>
      </c>
      <c r="AA20" s="294">
        <v>1</v>
      </c>
      <c r="AB20" s="295">
        <v>44201</v>
      </c>
      <c r="AC20" s="296">
        <v>44221</v>
      </c>
      <c r="AD20" s="293"/>
      <c r="AE20" s="297"/>
      <c r="AF20" s="295"/>
      <c r="AG20" s="296"/>
      <c r="AH20" s="292"/>
      <c r="AI20" s="294"/>
      <c r="AJ20" s="295"/>
      <c r="AK20" s="296"/>
      <c r="AL20" s="292"/>
      <c r="AM20" s="294"/>
      <c r="AN20" s="295"/>
      <c r="AO20" s="296"/>
      <c r="AP20" s="292"/>
      <c r="AQ20" s="294"/>
      <c r="AR20" s="295"/>
      <c r="AS20" s="296"/>
      <c r="AT20" s="132">
        <f t="shared" si="1"/>
        <v>9323</v>
      </c>
      <c r="AU20" s="299">
        <f t="shared" si="2"/>
        <v>9323</v>
      </c>
    </row>
    <row r="21" spans="2:47" s="130" customFormat="1" x14ac:dyDescent="0.25">
      <c r="B21" s="131">
        <v>6</v>
      </c>
      <c r="C21" s="131" t="s">
        <v>39</v>
      </c>
      <c r="D21" s="288">
        <v>30087369</v>
      </c>
      <c r="E21" s="289" t="s">
        <v>461</v>
      </c>
      <c r="F21" s="289" t="s">
        <v>147</v>
      </c>
      <c r="G21" s="290" t="s">
        <v>452</v>
      </c>
      <c r="H21" s="290" t="s">
        <v>453</v>
      </c>
      <c r="I21" s="291" t="s">
        <v>57</v>
      </c>
      <c r="J21" s="291">
        <v>4226957</v>
      </c>
      <c r="K21" s="292">
        <v>23624</v>
      </c>
      <c r="L21" s="292">
        <v>3942033</v>
      </c>
      <c r="M21" s="292">
        <v>0</v>
      </c>
      <c r="N21" s="292">
        <v>0</v>
      </c>
      <c r="O21" s="292">
        <v>0</v>
      </c>
      <c r="P21" s="292">
        <v>0</v>
      </c>
      <c r="Q21" s="292">
        <v>0</v>
      </c>
      <c r="R21" s="292">
        <v>0</v>
      </c>
      <c r="S21" s="292">
        <v>0</v>
      </c>
      <c r="T21" s="292">
        <v>0</v>
      </c>
      <c r="U21" s="292">
        <v>0</v>
      </c>
      <c r="V21" s="292">
        <v>0</v>
      </c>
      <c r="W21" s="292">
        <v>0</v>
      </c>
      <c r="X21" s="292">
        <v>0</v>
      </c>
      <c r="Y21" s="292">
        <f t="shared" si="0"/>
        <v>0</v>
      </c>
      <c r="Z21" s="293">
        <v>261300</v>
      </c>
      <c r="AA21" s="294">
        <v>1</v>
      </c>
      <c r="AB21" s="295">
        <v>44201</v>
      </c>
      <c r="AC21" s="296">
        <v>44221</v>
      </c>
      <c r="AD21" s="293"/>
      <c r="AE21" s="297"/>
      <c r="AF21" s="295"/>
      <c r="AG21" s="296"/>
      <c r="AH21" s="292"/>
      <c r="AI21" s="294"/>
      <c r="AJ21" s="295"/>
      <c r="AK21" s="296"/>
      <c r="AL21" s="292"/>
      <c r="AM21" s="294"/>
      <c r="AN21" s="295"/>
      <c r="AO21" s="296"/>
      <c r="AP21" s="292"/>
      <c r="AQ21" s="294"/>
      <c r="AR21" s="295"/>
      <c r="AS21" s="296"/>
      <c r="AT21" s="132">
        <f t="shared" si="1"/>
        <v>261300</v>
      </c>
      <c r="AU21" s="299">
        <f t="shared" si="2"/>
        <v>261300</v>
      </c>
    </row>
    <row r="22" spans="2:47" s="130" customFormat="1" ht="22.5" x14ac:dyDescent="0.25">
      <c r="B22" s="131">
        <v>7</v>
      </c>
      <c r="C22" s="131" t="s">
        <v>39</v>
      </c>
      <c r="D22" s="288">
        <v>30108045</v>
      </c>
      <c r="E22" s="289" t="s">
        <v>462</v>
      </c>
      <c r="F22" s="289" t="s">
        <v>147</v>
      </c>
      <c r="G22" s="290" t="s">
        <v>452</v>
      </c>
      <c r="H22" s="290" t="s">
        <v>463</v>
      </c>
      <c r="I22" s="291" t="s">
        <v>57</v>
      </c>
      <c r="J22" s="291">
        <v>710698</v>
      </c>
      <c r="K22" s="292">
        <v>627998</v>
      </c>
      <c r="L22" s="292">
        <v>0</v>
      </c>
      <c r="M22" s="292">
        <v>0</v>
      </c>
      <c r="N22" s="292">
        <v>0</v>
      </c>
      <c r="O22" s="292">
        <v>0</v>
      </c>
      <c r="P22" s="292">
        <v>0</v>
      </c>
      <c r="Q22" s="292">
        <v>0</v>
      </c>
      <c r="R22" s="292">
        <v>0</v>
      </c>
      <c r="S22" s="292">
        <v>0</v>
      </c>
      <c r="T22" s="292">
        <v>0</v>
      </c>
      <c r="U22" s="292">
        <v>0</v>
      </c>
      <c r="V22" s="292">
        <v>0</v>
      </c>
      <c r="W22" s="292">
        <v>0</v>
      </c>
      <c r="X22" s="292">
        <v>0</v>
      </c>
      <c r="Y22" s="292">
        <f t="shared" si="0"/>
        <v>0</v>
      </c>
      <c r="Z22" s="293">
        <v>82700</v>
      </c>
      <c r="AA22" s="294">
        <v>1</v>
      </c>
      <c r="AB22" s="295">
        <v>44201</v>
      </c>
      <c r="AC22" s="296">
        <v>44221</v>
      </c>
      <c r="AD22" s="293"/>
      <c r="AE22" s="297"/>
      <c r="AF22" s="298"/>
      <c r="AG22" s="296"/>
      <c r="AH22" s="293"/>
      <c r="AI22" s="294"/>
      <c r="AJ22" s="298"/>
      <c r="AK22" s="296"/>
      <c r="AL22" s="293"/>
      <c r="AM22" s="294"/>
      <c r="AN22" s="298"/>
      <c r="AO22" s="296"/>
      <c r="AP22" s="293"/>
      <c r="AQ22" s="294"/>
      <c r="AR22" s="298"/>
      <c r="AS22" s="296"/>
      <c r="AT22" s="132">
        <f t="shared" si="1"/>
        <v>82700</v>
      </c>
      <c r="AU22" s="299">
        <f t="shared" si="2"/>
        <v>82700</v>
      </c>
    </row>
    <row r="23" spans="2:47" s="130" customFormat="1" ht="22.5" x14ac:dyDescent="0.25">
      <c r="B23" s="131">
        <v>8</v>
      </c>
      <c r="C23" s="131" t="s">
        <v>39</v>
      </c>
      <c r="D23" s="288">
        <v>30108048</v>
      </c>
      <c r="E23" s="289" t="s">
        <v>464</v>
      </c>
      <c r="F23" s="289" t="s">
        <v>147</v>
      </c>
      <c r="G23" s="290" t="s">
        <v>452</v>
      </c>
      <c r="H23" s="301" t="s">
        <v>463</v>
      </c>
      <c r="I23" s="291" t="s">
        <v>57</v>
      </c>
      <c r="J23" s="291">
        <v>1449759</v>
      </c>
      <c r="K23" s="292">
        <v>453575</v>
      </c>
      <c r="L23" s="292">
        <v>357351</v>
      </c>
      <c r="M23" s="292">
        <v>0</v>
      </c>
      <c r="N23" s="292">
        <v>0</v>
      </c>
      <c r="O23" s="292">
        <v>0</v>
      </c>
      <c r="P23" s="292">
        <v>0</v>
      </c>
      <c r="Q23" s="292">
        <v>0</v>
      </c>
      <c r="R23" s="292">
        <v>0</v>
      </c>
      <c r="S23" s="292">
        <v>0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f t="shared" si="0"/>
        <v>0</v>
      </c>
      <c r="Z23" s="293">
        <v>638833</v>
      </c>
      <c r="AA23" s="294">
        <v>1</v>
      </c>
      <c r="AB23" s="295">
        <v>44201</v>
      </c>
      <c r="AC23" s="296">
        <v>44221</v>
      </c>
      <c r="AD23" s="293"/>
      <c r="AE23" s="297"/>
      <c r="AF23" s="298"/>
      <c r="AG23" s="296"/>
      <c r="AH23" s="293"/>
      <c r="AI23" s="294"/>
      <c r="AJ23" s="298"/>
      <c r="AK23" s="296"/>
      <c r="AL23" s="293"/>
      <c r="AM23" s="294"/>
      <c r="AN23" s="298"/>
      <c r="AO23" s="296"/>
      <c r="AP23" s="293"/>
      <c r="AQ23" s="294"/>
      <c r="AR23" s="298"/>
      <c r="AS23" s="296"/>
      <c r="AT23" s="132">
        <f t="shared" si="1"/>
        <v>638833</v>
      </c>
      <c r="AU23" s="299">
        <f t="shared" si="2"/>
        <v>638833</v>
      </c>
    </row>
    <row r="24" spans="2:47" s="130" customFormat="1" ht="23.25" customHeight="1" x14ac:dyDescent="0.25">
      <c r="B24" s="131">
        <v>9</v>
      </c>
      <c r="C24" s="131" t="s">
        <v>39</v>
      </c>
      <c r="D24" s="288">
        <v>30116086</v>
      </c>
      <c r="E24" s="289" t="s">
        <v>465</v>
      </c>
      <c r="F24" s="289" t="s">
        <v>147</v>
      </c>
      <c r="G24" s="290" t="s">
        <v>452</v>
      </c>
      <c r="H24" s="301" t="s">
        <v>463</v>
      </c>
      <c r="I24" s="291" t="s">
        <v>57</v>
      </c>
      <c r="J24" s="291">
        <v>1469198</v>
      </c>
      <c r="K24" s="292">
        <v>4432</v>
      </c>
      <c r="L24" s="292">
        <v>1447263</v>
      </c>
      <c r="M24" s="292">
        <v>0</v>
      </c>
      <c r="N24" s="292">
        <v>0</v>
      </c>
      <c r="O24" s="292">
        <v>0</v>
      </c>
      <c r="P24" s="292">
        <v>0</v>
      </c>
      <c r="Q24" s="292">
        <v>0</v>
      </c>
      <c r="R24" s="292">
        <v>0</v>
      </c>
      <c r="S24" s="292">
        <v>0</v>
      </c>
      <c r="T24" s="292">
        <v>0</v>
      </c>
      <c r="U24" s="292">
        <v>0</v>
      </c>
      <c r="V24" s="292">
        <v>0</v>
      </c>
      <c r="W24" s="292">
        <v>0</v>
      </c>
      <c r="X24" s="292">
        <v>0</v>
      </c>
      <c r="Y24" s="292">
        <f t="shared" si="0"/>
        <v>0</v>
      </c>
      <c r="Z24" s="293">
        <v>17503</v>
      </c>
      <c r="AA24" s="294">
        <v>1</v>
      </c>
      <c r="AB24" s="295">
        <v>44201</v>
      </c>
      <c r="AC24" s="296">
        <v>44221</v>
      </c>
      <c r="AD24" s="293"/>
      <c r="AE24" s="297"/>
      <c r="AF24" s="298"/>
      <c r="AG24" s="296"/>
      <c r="AH24" s="293"/>
      <c r="AI24" s="294"/>
      <c r="AJ24" s="298"/>
      <c r="AK24" s="296"/>
      <c r="AL24" s="293"/>
      <c r="AM24" s="294"/>
      <c r="AN24" s="298"/>
      <c r="AO24" s="296"/>
      <c r="AP24" s="293"/>
      <c r="AQ24" s="294"/>
      <c r="AR24" s="298"/>
      <c r="AS24" s="296"/>
      <c r="AT24" s="132">
        <f t="shared" si="1"/>
        <v>17503</v>
      </c>
      <c r="AU24" s="299">
        <f t="shared" si="2"/>
        <v>17503</v>
      </c>
    </row>
    <row r="25" spans="2:47" s="130" customFormat="1" ht="22.5" x14ac:dyDescent="0.25">
      <c r="B25" s="131">
        <v>10</v>
      </c>
      <c r="C25" s="131" t="s">
        <v>39</v>
      </c>
      <c r="D25" s="288">
        <v>30124596</v>
      </c>
      <c r="E25" s="289" t="s">
        <v>466</v>
      </c>
      <c r="F25" s="289" t="s">
        <v>147</v>
      </c>
      <c r="G25" s="290" t="s">
        <v>452</v>
      </c>
      <c r="H25" s="301" t="s">
        <v>453</v>
      </c>
      <c r="I25" s="291" t="s">
        <v>57</v>
      </c>
      <c r="J25" s="291">
        <v>4374369</v>
      </c>
      <c r="K25" s="292">
        <v>314787</v>
      </c>
      <c r="L25" s="292">
        <v>0</v>
      </c>
      <c r="M25" s="292">
        <v>62184</v>
      </c>
      <c r="N25" s="292">
        <v>105432</v>
      </c>
      <c r="O25" s="292">
        <v>0</v>
      </c>
      <c r="P25" s="292">
        <v>0</v>
      </c>
      <c r="Q25" s="292">
        <v>0</v>
      </c>
      <c r="R25" s="292">
        <v>0</v>
      </c>
      <c r="S25" s="292">
        <v>0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f t="shared" si="0"/>
        <v>167616</v>
      </c>
      <c r="Z25" s="293">
        <v>2383374</v>
      </c>
      <c r="AA25" s="294">
        <v>1</v>
      </c>
      <c r="AB25" s="295">
        <v>44201</v>
      </c>
      <c r="AC25" s="296">
        <v>44221</v>
      </c>
      <c r="AD25" s="293"/>
      <c r="AE25" s="297"/>
      <c r="AF25" s="298"/>
      <c r="AG25" s="296"/>
      <c r="AH25" s="293"/>
      <c r="AI25" s="294"/>
      <c r="AJ25" s="298"/>
      <c r="AK25" s="296"/>
      <c r="AL25" s="293"/>
      <c r="AM25" s="294"/>
      <c r="AN25" s="298"/>
      <c r="AO25" s="296"/>
      <c r="AP25" s="293"/>
      <c r="AQ25" s="294"/>
      <c r="AR25" s="298"/>
      <c r="AS25" s="296"/>
      <c r="AT25" s="132">
        <f t="shared" si="1"/>
        <v>2383374</v>
      </c>
      <c r="AU25" s="299">
        <f t="shared" si="2"/>
        <v>2215758</v>
      </c>
    </row>
    <row r="26" spans="2:47" s="130" customFormat="1" ht="22.5" x14ac:dyDescent="0.25">
      <c r="B26" s="131">
        <v>11</v>
      </c>
      <c r="C26" s="131" t="s">
        <v>39</v>
      </c>
      <c r="D26" s="288">
        <v>30126588</v>
      </c>
      <c r="E26" s="289" t="s">
        <v>467</v>
      </c>
      <c r="F26" s="289" t="s">
        <v>147</v>
      </c>
      <c r="G26" s="290" t="s">
        <v>452</v>
      </c>
      <c r="H26" s="301" t="s">
        <v>453</v>
      </c>
      <c r="I26" s="291" t="s">
        <v>57</v>
      </c>
      <c r="J26" s="291">
        <v>4367044</v>
      </c>
      <c r="K26" s="292">
        <v>4267162</v>
      </c>
      <c r="L26" s="292">
        <v>99881</v>
      </c>
      <c r="M26" s="292">
        <v>0</v>
      </c>
      <c r="N26" s="292">
        <v>0</v>
      </c>
      <c r="O26" s="292">
        <v>0</v>
      </c>
      <c r="P26" s="292">
        <v>0</v>
      </c>
      <c r="Q26" s="292">
        <v>0</v>
      </c>
      <c r="R26" s="292">
        <v>0</v>
      </c>
      <c r="S26" s="292">
        <v>0</v>
      </c>
      <c r="T26" s="292">
        <v>0</v>
      </c>
      <c r="U26" s="292">
        <v>0</v>
      </c>
      <c r="V26" s="292">
        <v>0</v>
      </c>
      <c r="W26" s="292">
        <v>0</v>
      </c>
      <c r="X26" s="292">
        <v>0</v>
      </c>
      <c r="Y26" s="292">
        <f t="shared" si="0"/>
        <v>0</v>
      </c>
      <c r="Z26" s="293">
        <v>1</v>
      </c>
      <c r="AA26" s="294">
        <v>1</v>
      </c>
      <c r="AB26" s="295">
        <v>44201</v>
      </c>
      <c r="AC26" s="296">
        <v>44221</v>
      </c>
      <c r="AD26" s="293"/>
      <c r="AE26" s="297"/>
      <c r="AF26" s="298"/>
      <c r="AG26" s="296"/>
      <c r="AH26" s="293"/>
      <c r="AI26" s="294"/>
      <c r="AJ26" s="298"/>
      <c r="AK26" s="296"/>
      <c r="AL26" s="293"/>
      <c r="AM26" s="294"/>
      <c r="AN26" s="298"/>
      <c r="AO26" s="296"/>
      <c r="AP26" s="293"/>
      <c r="AQ26" s="294"/>
      <c r="AR26" s="298"/>
      <c r="AS26" s="296"/>
      <c r="AT26" s="132">
        <f t="shared" si="1"/>
        <v>1</v>
      </c>
      <c r="AU26" s="299">
        <f t="shared" si="2"/>
        <v>1</v>
      </c>
    </row>
    <row r="27" spans="2:47" s="130" customFormat="1" ht="22.5" x14ac:dyDescent="0.25">
      <c r="B27" s="131">
        <v>12</v>
      </c>
      <c r="C27" s="131" t="s">
        <v>39</v>
      </c>
      <c r="D27" s="288">
        <v>30126599</v>
      </c>
      <c r="E27" s="289" t="s">
        <v>468</v>
      </c>
      <c r="F27" s="289" t="s">
        <v>147</v>
      </c>
      <c r="G27" s="290" t="s">
        <v>452</v>
      </c>
      <c r="H27" s="301" t="s">
        <v>453</v>
      </c>
      <c r="I27" s="291" t="s">
        <v>57</v>
      </c>
      <c r="J27" s="291">
        <v>16673403</v>
      </c>
      <c r="K27" s="292">
        <v>16495225</v>
      </c>
      <c r="L27" s="292">
        <v>0</v>
      </c>
      <c r="M27" s="292">
        <v>0</v>
      </c>
      <c r="N27" s="292">
        <v>0</v>
      </c>
      <c r="O27" s="292">
        <v>0</v>
      </c>
      <c r="P27" s="292">
        <v>0</v>
      </c>
      <c r="Q27" s="292">
        <v>0</v>
      </c>
      <c r="R27" s="292">
        <v>0</v>
      </c>
      <c r="S27" s="292">
        <v>0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f t="shared" si="0"/>
        <v>0</v>
      </c>
      <c r="Z27" s="293">
        <v>178178</v>
      </c>
      <c r="AA27" s="294">
        <v>1</v>
      </c>
      <c r="AB27" s="295">
        <v>44201</v>
      </c>
      <c r="AC27" s="296">
        <v>44221</v>
      </c>
      <c r="AD27" s="293"/>
      <c r="AE27" s="297"/>
      <c r="AF27" s="298"/>
      <c r="AG27" s="296"/>
      <c r="AH27" s="293"/>
      <c r="AI27" s="294"/>
      <c r="AJ27" s="298"/>
      <c r="AK27" s="296"/>
      <c r="AL27" s="293"/>
      <c r="AM27" s="294"/>
      <c r="AN27" s="298"/>
      <c r="AO27" s="296"/>
      <c r="AP27" s="293"/>
      <c r="AQ27" s="294"/>
      <c r="AR27" s="298"/>
      <c r="AS27" s="296"/>
      <c r="AT27" s="132">
        <f t="shared" si="1"/>
        <v>178178</v>
      </c>
      <c r="AU27" s="299">
        <f t="shared" si="2"/>
        <v>178178</v>
      </c>
    </row>
    <row r="28" spans="2:47" s="130" customFormat="1" x14ac:dyDescent="0.25">
      <c r="B28" s="131">
        <v>13</v>
      </c>
      <c r="C28" s="131" t="s">
        <v>39</v>
      </c>
      <c r="D28" s="288">
        <v>30127208</v>
      </c>
      <c r="E28" s="289" t="s">
        <v>469</v>
      </c>
      <c r="F28" s="289" t="s">
        <v>147</v>
      </c>
      <c r="G28" s="290" t="s">
        <v>452</v>
      </c>
      <c r="H28" s="301" t="s">
        <v>470</v>
      </c>
      <c r="I28" s="291" t="s">
        <v>57</v>
      </c>
      <c r="J28" s="291">
        <v>4145124</v>
      </c>
      <c r="K28" s="292">
        <v>1976</v>
      </c>
      <c r="L28" s="292">
        <v>4143147</v>
      </c>
      <c r="M28" s="292">
        <v>0</v>
      </c>
      <c r="N28" s="292">
        <v>0</v>
      </c>
      <c r="O28" s="292">
        <v>0</v>
      </c>
      <c r="P28" s="292">
        <v>0</v>
      </c>
      <c r="Q28" s="292">
        <v>0</v>
      </c>
      <c r="R28" s="292">
        <v>0</v>
      </c>
      <c r="S28" s="292">
        <v>0</v>
      </c>
      <c r="T28" s="292">
        <v>0</v>
      </c>
      <c r="U28" s="292">
        <v>0</v>
      </c>
      <c r="V28" s="292">
        <v>0</v>
      </c>
      <c r="W28" s="292">
        <v>0</v>
      </c>
      <c r="X28" s="292">
        <v>0</v>
      </c>
      <c r="Y28" s="292">
        <f t="shared" si="0"/>
        <v>0</v>
      </c>
      <c r="Z28" s="293">
        <v>1</v>
      </c>
      <c r="AA28" s="294">
        <v>1</v>
      </c>
      <c r="AB28" s="295">
        <v>44201</v>
      </c>
      <c r="AC28" s="296">
        <v>44221</v>
      </c>
      <c r="AD28" s="293"/>
      <c r="AE28" s="297"/>
      <c r="AF28" s="298"/>
      <c r="AG28" s="296"/>
      <c r="AH28" s="293"/>
      <c r="AI28" s="294"/>
      <c r="AJ28" s="298"/>
      <c r="AK28" s="296"/>
      <c r="AL28" s="293"/>
      <c r="AM28" s="294"/>
      <c r="AN28" s="298"/>
      <c r="AO28" s="296"/>
      <c r="AP28" s="293"/>
      <c r="AQ28" s="294"/>
      <c r="AR28" s="298"/>
      <c r="AS28" s="296"/>
      <c r="AT28" s="132">
        <f t="shared" si="1"/>
        <v>1</v>
      </c>
      <c r="AU28" s="299">
        <f t="shared" si="2"/>
        <v>1</v>
      </c>
    </row>
    <row r="29" spans="2:47" s="130" customFormat="1" x14ac:dyDescent="0.25">
      <c r="B29" s="131">
        <v>14</v>
      </c>
      <c r="C29" s="131" t="s">
        <v>39</v>
      </c>
      <c r="D29" s="288">
        <v>30134875</v>
      </c>
      <c r="E29" s="289" t="s">
        <v>471</v>
      </c>
      <c r="F29" s="289" t="s">
        <v>147</v>
      </c>
      <c r="G29" s="290" t="s">
        <v>452</v>
      </c>
      <c r="H29" s="301" t="s">
        <v>472</v>
      </c>
      <c r="I29" s="291" t="s">
        <v>57</v>
      </c>
      <c r="J29" s="291">
        <v>1853967</v>
      </c>
      <c r="K29" s="292">
        <v>20084</v>
      </c>
      <c r="L29" s="292">
        <v>0</v>
      </c>
      <c r="M29" s="292">
        <v>61029</v>
      </c>
      <c r="N29" s="292">
        <v>0</v>
      </c>
      <c r="O29" s="292">
        <v>0</v>
      </c>
      <c r="P29" s="292">
        <v>0</v>
      </c>
      <c r="Q29" s="292">
        <v>0</v>
      </c>
      <c r="R29" s="292">
        <v>0</v>
      </c>
      <c r="S29" s="292">
        <v>0</v>
      </c>
      <c r="T29" s="292">
        <v>0</v>
      </c>
      <c r="U29" s="292">
        <v>0</v>
      </c>
      <c r="V29" s="292">
        <v>0</v>
      </c>
      <c r="W29" s="292">
        <v>0</v>
      </c>
      <c r="X29" s="292">
        <v>0</v>
      </c>
      <c r="Y29" s="292">
        <f t="shared" si="0"/>
        <v>61029</v>
      </c>
      <c r="Z29" s="293">
        <v>976663</v>
      </c>
      <c r="AA29" s="294">
        <v>1</v>
      </c>
      <c r="AB29" s="295">
        <v>44201</v>
      </c>
      <c r="AC29" s="296">
        <v>44221</v>
      </c>
      <c r="AD29" s="293"/>
      <c r="AE29" s="297"/>
      <c r="AF29" s="298"/>
      <c r="AG29" s="296"/>
      <c r="AH29" s="293"/>
      <c r="AI29" s="294"/>
      <c r="AJ29" s="298"/>
      <c r="AK29" s="296"/>
      <c r="AL29" s="293"/>
      <c r="AM29" s="294"/>
      <c r="AN29" s="298"/>
      <c r="AO29" s="296"/>
      <c r="AP29" s="293"/>
      <c r="AQ29" s="294"/>
      <c r="AR29" s="298"/>
      <c r="AS29" s="296"/>
      <c r="AT29" s="132">
        <f t="shared" si="1"/>
        <v>976663</v>
      </c>
      <c r="AU29" s="299">
        <f t="shared" si="2"/>
        <v>915634</v>
      </c>
    </row>
    <row r="30" spans="2:47" s="130" customFormat="1" ht="22.5" x14ac:dyDescent="0.25">
      <c r="B30" s="131">
        <v>15</v>
      </c>
      <c r="C30" s="131" t="s">
        <v>39</v>
      </c>
      <c r="D30" s="288">
        <v>30136533</v>
      </c>
      <c r="E30" s="289" t="s">
        <v>473</v>
      </c>
      <c r="F30" s="289" t="s">
        <v>147</v>
      </c>
      <c r="G30" s="290" t="s">
        <v>452</v>
      </c>
      <c r="H30" s="301" t="s">
        <v>453</v>
      </c>
      <c r="I30" s="291" t="s">
        <v>57</v>
      </c>
      <c r="J30" s="291">
        <v>2107054</v>
      </c>
      <c r="K30" s="292">
        <v>814</v>
      </c>
      <c r="L30" s="292">
        <v>1706239</v>
      </c>
      <c r="M30" s="292">
        <v>0</v>
      </c>
      <c r="N30" s="292">
        <v>0</v>
      </c>
      <c r="O30" s="292">
        <v>0</v>
      </c>
      <c r="P30" s="292">
        <v>0</v>
      </c>
      <c r="Q30" s="292">
        <v>0</v>
      </c>
      <c r="R30" s="292">
        <v>0</v>
      </c>
      <c r="S30" s="292">
        <v>0</v>
      </c>
      <c r="T30" s="292">
        <v>0</v>
      </c>
      <c r="U30" s="292">
        <v>0</v>
      </c>
      <c r="V30" s="292">
        <v>0</v>
      </c>
      <c r="W30" s="292">
        <v>0</v>
      </c>
      <c r="X30" s="292">
        <v>0</v>
      </c>
      <c r="Y30" s="292">
        <f t="shared" si="0"/>
        <v>0</v>
      </c>
      <c r="Z30" s="293">
        <v>1</v>
      </c>
      <c r="AA30" s="294">
        <v>1</v>
      </c>
      <c r="AB30" s="295">
        <v>44201</v>
      </c>
      <c r="AC30" s="296">
        <v>44221</v>
      </c>
      <c r="AD30" s="293"/>
      <c r="AE30" s="297"/>
      <c r="AF30" s="298"/>
      <c r="AG30" s="296"/>
      <c r="AH30" s="293"/>
      <c r="AI30" s="294"/>
      <c r="AJ30" s="298"/>
      <c r="AK30" s="296"/>
      <c r="AL30" s="293"/>
      <c r="AM30" s="294"/>
      <c r="AN30" s="298"/>
      <c r="AO30" s="296"/>
      <c r="AP30" s="293"/>
      <c r="AQ30" s="294"/>
      <c r="AR30" s="298"/>
      <c r="AS30" s="296"/>
      <c r="AT30" s="132">
        <f t="shared" si="1"/>
        <v>1</v>
      </c>
      <c r="AU30" s="299">
        <f t="shared" si="2"/>
        <v>1</v>
      </c>
    </row>
    <row r="31" spans="2:47" s="130" customFormat="1" x14ac:dyDescent="0.25">
      <c r="B31" s="131">
        <v>16</v>
      </c>
      <c r="C31" s="131" t="s">
        <v>39</v>
      </c>
      <c r="D31" s="288">
        <v>30164922</v>
      </c>
      <c r="E31" s="289" t="s">
        <v>474</v>
      </c>
      <c r="F31" s="289" t="s">
        <v>147</v>
      </c>
      <c r="G31" s="290" t="s">
        <v>452</v>
      </c>
      <c r="H31" s="301" t="s">
        <v>453</v>
      </c>
      <c r="I31" s="291" t="s">
        <v>57</v>
      </c>
      <c r="J31" s="291">
        <v>3258344</v>
      </c>
      <c r="K31" s="292">
        <v>34612</v>
      </c>
      <c r="L31" s="292">
        <v>2962432</v>
      </c>
      <c r="M31" s="292">
        <v>0</v>
      </c>
      <c r="N31" s="292">
        <v>0</v>
      </c>
      <c r="O31" s="292">
        <v>0</v>
      </c>
      <c r="P31" s="292">
        <v>0</v>
      </c>
      <c r="Q31" s="292">
        <v>0</v>
      </c>
      <c r="R31" s="292">
        <v>0</v>
      </c>
      <c r="S31" s="292">
        <v>0</v>
      </c>
      <c r="T31" s="292">
        <v>0</v>
      </c>
      <c r="U31" s="292">
        <v>0</v>
      </c>
      <c r="V31" s="292">
        <v>0</v>
      </c>
      <c r="W31" s="292">
        <v>0</v>
      </c>
      <c r="X31" s="292">
        <v>0</v>
      </c>
      <c r="Y31" s="292">
        <f t="shared" si="0"/>
        <v>0</v>
      </c>
      <c r="Z31" s="293">
        <v>261300</v>
      </c>
      <c r="AA31" s="294">
        <v>1</v>
      </c>
      <c r="AB31" s="295">
        <v>44201</v>
      </c>
      <c r="AC31" s="296">
        <v>44221</v>
      </c>
      <c r="AD31" s="293"/>
      <c r="AE31" s="297"/>
      <c r="AF31" s="298"/>
      <c r="AG31" s="296"/>
      <c r="AH31" s="293"/>
      <c r="AI31" s="294"/>
      <c r="AJ31" s="298"/>
      <c r="AK31" s="296"/>
      <c r="AL31" s="293"/>
      <c r="AM31" s="294"/>
      <c r="AN31" s="298"/>
      <c r="AO31" s="296"/>
      <c r="AP31" s="293"/>
      <c r="AQ31" s="294"/>
      <c r="AR31" s="298"/>
      <c r="AS31" s="296"/>
      <c r="AT31" s="132">
        <f t="shared" si="1"/>
        <v>261300</v>
      </c>
      <c r="AU31" s="299">
        <f t="shared" si="2"/>
        <v>261300</v>
      </c>
    </row>
    <row r="32" spans="2:47" s="130" customFormat="1" ht="22.5" x14ac:dyDescent="0.25">
      <c r="B32" s="131">
        <v>17</v>
      </c>
      <c r="C32" s="131" t="s">
        <v>39</v>
      </c>
      <c r="D32" s="288">
        <v>30167472</v>
      </c>
      <c r="E32" s="289" t="s">
        <v>475</v>
      </c>
      <c r="F32" s="289" t="s">
        <v>147</v>
      </c>
      <c r="G32" s="290" t="s">
        <v>452</v>
      </c>
      <c r="H32" s="301" t="s">
        <v>476</v>
      </c>
      <c r="I32" s="291" t="s">
        <v>57</v>
      </c>
      <c r="J32" s="291">
        <v>1700838</v>
      </c>
      <c r="K32" s="292">
        <v>1157952</v>
      </c>
      <c r="L32" s="292">
        <v>0</v>
      </c>
      <c r="M32" s="292">
        <v>0</v>
      </c>
      <c r="N32" s="292">
        <v>0</v>
      </c>
      <c r="O32" s="292">
        <v>0</v>
      </c>
      <c r="P32" s="292">
        <v>0</v>
      </c>
      <c r="Q32" s="292">
        <v>0</v>
      </c>
      <c r="R32" s="292">
        <v>0</v>
      </c>
      <c r="S32" s="292">
        <v>0</v>
      </c>
      <c r="T32" s="292">
        <v>0</v>
      </c>
      <c r="U32" s="292">
        <v>0</v>
      </c>
      <c r="V32" s="292">
        <v>0</v>
      </c>
      <c r="W32" s="292">
        <v>0</v>
      </c>
      <c r="X32" s="292">
        <v>0</v>
      </c>
      <c r="Y32" s="292">
        <f t="shared" si="0"/>
        <v>0</v>
      </c>
      <c r="Z32" s="293">
        <v>542886</v>
      </c>
      <c r="AA32" s="294">
        <v>1</v>
      </c>
      <c r="AB32" s="295">
        <v>44201</v>
      </c>
      <c r="AC32" s="296">
        <v>44221</v>
      </c>
      <c r="AD32" s="293"/>
      <c r="AE32" s="297"/>
      <c r="AF32" s="298"/>
      <c r="AG32" s="296"/>
      <c r="AH32" s="293"/>
      <c r="AI32" s="294"/>
      <c r="AJ32" s="298"/>
      <c r="AK32" s="296"/>
      <c r="AL32" s="293"/>
      <c r="AM32" s="294"/>
      <c r="AN32" s="298"/>
      <c r="AO32" s="296"/>
      <c r="AP32" s="293"/>
      <c r="AQ32" s="294"/>
      <c r="AR32" s="298"/>
      <c r="AS32" s="296"/>
      <c r="AT32" s="132">
        <f t="shared" si="1"/>
        <v>542886</v>
      </c>
      <c r="AU32" s="299">
        <f t="shared" si="2"/>
        <v>542886</v>
      </c>
    </row>
    <row r="33" spans="2:47" s="130" customFormat="1" ht="22.5" x14ac:dyDescent="0.25">
      <c r="B33" s="131">
        <v>18</v>
      </c>
      <c r="C33" s="131" t="s">
        <v>39</v>
      </c>
      <c r="D33" s="288">
        <v>30360227</v>
      </c>
      <c r="E33" s="289" t="s">
        <v>477</v>
      </c>
      <c r="F33" s="289" t="s">
        <v>147</v>
      </c>
      <c r="G33" s="290" t="s">
        <v>452</v>
      </c>
      <c r="H33" s="301" t="s">
        <v>453</v>
      </c>
      <c r="I33" s="291" t="s">
        <v>57</v>
      </c>
      <c r="J33" s="291">
        <v>515692</v>
      </c>
      <c r="K33" s="292">
        <v>498011</v>
      </c>
      <c r="L33" s="292">
        <v>8815</v>
      </c>
      <c r="M33" s="292">
        <v>0</v>
      </c>
      <c r="N33" s="292">
        <v>0</v>
      </c>
      <c r="O33" s="292">
        <v>0</v>
      </c>
      <c r="P33" s="292">
        <v>0</v>
      </c>
      <c r="Q33" s="292">
        <v>0</v>
      </c>
      <c r="R33" s="292">
        <v>0</v>
      </c>
      <c r="S33" s="292">
        <v>0</v>
      </c>
      <c r="T33" s="292">
        <v>0</v>
      </c>
      <c r="U33" s="292">
        <v>0</v>
      </c>
      <c r="V33" s="292">
        <v>0</v>
      </c>
      <c r="W33" s="292">
        <v>0</v>
      </c>
      <c r="X33" s="292">
        <v>0</v>
      </c>
      <c r="Y33" s="292">
        <f t="shared" si="0"/>
        <v>0</v>
      </c>
      <c r="Z33" s="293">
        <v>8866</v>
      </c>
      <c r="AA33" s="294">
        <v>1</v>
      </c>
      <c r="AB33" s="295">
        <v>44201</v>
      </c>
      <c r="AC33" s="296">
        <v>44221</v>
      </c>
      <c r="AD33" s="293"/>
      <c r="AE33" s="297"/>
      <c r="AF33" s="298"/>
      <c r="AG33" s="296"/>
      <c r="AH33" s="293"/>
      <c r="AI33" s="294"/>
      <c r="AJ33" s="298"/>
      <c r="AK33" s="296"/>
      <c r="AL33" s="293"/>
      <c r="AM33" s="294"/>
      <c r="AN33" s="298"/>
      <c r="AO33" s="296"/>
      <c r="AP33" s="293"/>
      <c r="AQ33" s="294"/>
      <c r="AR33" s="298"/>
      <c r="AS33" s="296"/>
      <c r="AT33" s="132">
        <f t="shared" si="1"/>
        <v>8866</v>
      </c>
      <c r="AU33" s="299">
        <f t="shared" si="2"/>
        <v>8866</v>
      </c>
    </row>
    <row r="34" spans="2:47" s="130" customFormat="1" ht="22.5" x14ac:dyDescent="0.25">
      <c r="B34" s="131">
        <v>19</v>
      </c>
      <c r="C34" s="131" t="s">
        <v>39</v>
      </c>
      <c r="D34" s="288">
        <v>30367047</v>
      </c>
      <c r="E34" s="289" t="s">
        <v>478</v>
      </c>
      <c r="F34" s="289" t="s">
        <v>147</v>
      </c>
      <c r="G34" s="290" t="s">
        <v>452</v>
      </c>
      <c r="H34" s="301" t="s">
        <v>463</v>
      </c>
      <c r="I34" s="291" t="s">
        <v>57</v>
      </c>
      <c r="J34" s="291">
        <v>1374911</v>
      </c>
      <c r="K34" s="292">
        <v>1319802</v>
      </c>
      <c r="L34" s="292">
        <v>0</v>
      </c>
      <c r="M34" s="292">
        <v>0</v>
      </c>
      <c r="N34" s="292">
        <v>0</v>
      </c>
      <c r="O34" s="292">
        <v>0</v>
      </c>
      <c r="P34" s="292">
        <v>0</v>
      </c>
      <c r="Q34" s="292">
        <v>0</v>
      </c>
      <c r="R34" s="292">
        <v>0</v>
      </c>
      <c r="S34" s="292">
        <v>0</v>
      </c>
      <c r="T34" s="292">
        <v>0</v>
      </c>
      <c r="U34" s="292">
        <v>0</v>
      </c>
      <c r="V34" s="292">
        <v>0</v>
      </c>
      <c r="W34" s="292">
        <v>0</v>
      </c>
      <c r="X34" s="292">
        <v>0</v>
      </c>
      <c r="Y34" s="292">
        <f t="shared" si="0"/>
        <v>0</v>
      </c>
      <c r="Z34" s="293">
        <v>55109</v>
      </c>
      <c r="AA34" s="294">
        <v>1</v>
      </c>
      <c r="AB34" s="295">
        <v>44201</v>
      </c>
      <c r="AC34" s="296">
        <v>44221</v>
      </c>
      <c r="AD34" s="293"/>
      <c r="AE34" s="297"/>
      <c r="AF34" s="298"/>
      <c r="AG34" s="296"/>
      <c r="AH34" s="293"/>
      <c r="AI34" s="294"/>
      <c r="AJ34" s="298"/>
      <c r="AK34" s="296"/>
      <c r="AL34" s="293"/>
      <c r="AM34" s="294"/>
      <c r="AN34" s="298"/>
      <c r="AO34" s="296"/>
      <c r="AP34" s="293"/>
      <c r="AQ34" s="294"/>
      <c r="AR34" s="298"/>
      <c r="AS34" s="296"/>
      <c r="AT34" s="132">
        <f t="shared" si="1"/>
        <v>55109</v>
      </c>
      <c r="AU34" s="299">
        <f t="shared" si="2"/>
        <v>55109</v>
      </c>
    </row>
    <row r="35" spans="2:47" s="130" customFormat="1" ht="22.5" x14ac:dyDescent="0.25">
      <c r="B35" s="131">
        <v>20</v>
      </c>
      <c r="C35" s="131" t="s">
        <v>39</v>
      </c>
      <c r="D35" s="288">
        <v>30372874</v>
      </c>
      <c r="E35" s="289" t="s">
        <v>479</v>
      </c>
      <c r="F35" s="289" t="s">
        <v>193</v>
      </c>
      <c r="G35" s="290" t="s">
        <v>452</v>
      </c>
      <c r="H35" s="301" t="s">
        <v>459</v>
      </c>
      <c r="I35" s="291" t="s">
        <v>57</v>
      </c>
      <c r="J35" s="291">
        <v>101317</v>
      </c>
      <c r="K35" s="292">
        <v>16636</v>
      </c>
      <c r="L35" s="292">
        <v>0</v>
      </c>
      <c r="M35" s="292">
        <v>0</v>
      </c>
      <c r="N35" s="292">
        <v>0</v>
      </c>
      <c r="O35" s="292">
        <v>0</v>
      </c>
      <c r="P35" s="292">
        <v>0</v>
      </c>
      <c r="Q35" s="292">
        <v>0</v>
      </c>
      <c r="R35" s="292">
        <v>0</v>
      </c>
      <c r="S35" s="292">
        <v>0</v>
      </c>
      <c r="T35" s="292">
        <v>0</v>
      </c>
      <c r="U35" s="292">
        <v>0</v>
      </c>
      <c r="V35" s="292">
        <v>0</v>
      </c>
      <c r="W35" s="292">
        <v>0</v>
      </c>
      <c r="X35" s="292">
        <v>0</v>
      </c>
      <c r="Y35" s="292">
        <f t="shared" si="0"/>
        <v>0</v>
      </c>
      <c r="Z35" s="293">
        <v>84681</v>
      </c>
      <c r="AA35" s="294">
        <v>1</v>
      </c>
      <c r="AB35" s="295">
        <v>44201</v>
      </c>
      <c r="AC35" s="296">
        <v>44221</v>
      </c>
      <c r="AD35" s="293"/>
      <c r="AE35" s="297"/>
      <c r="AF35" s="298"/>
      <c r="AG35" s="296"/>
      <c r="AH35" s="293"/>
      <c r="AI35" s="294"/>
      <c r="AJ35" s="298"/>
      <c r="AK35" s="296"/>
      <c r="AL35" s="293"/>
      <c r="AM35" s="294"/>
      <c r="AN35" s="298"/>
      <c r="AO35" s="296"/>
      <c r="AP35" s="293"/>
      <c r="AQ35" s="294"/>
      <c r="AR35" s="298"/>
      <c r="AS35" s="296"/>
      <c r="AT35" s="132">
        <f t="shared" si="1"/>
        <v>84681</v>
      </c>
      <c r="AU35" s="299">
        <f t="shared" si="2"/>
        <v>84681</v>
      </c>
    </row>
    <row r="36" spans="2:47" s="130" customFormat="1" ht="22.5" x14ac:dyDescent="0.25">
      <c r="B36" s="131">
        <v>21</v>
      </c>
      <c r="C36" s="131" t="s">
        <v>39</v>
      </c>
      <c r="D36" s="288">
        <v>30402075</v>
      </c>
      <c r="E36" s="289" t="s">
        <v>480</v>
      </c>
      <c r="F36" s="289" t="s">
        <v>147</v>
      </c>
      <c r="G36" s="290" t="s">
        <v>452</v>
      </c>
      <c r="H36" s="301" t="s">
        <v>476</v>
      </c>
      <c r="I36" s="291" t="s">
        <v>57</v>
      </c>
      <c r="J36" s="291">
        <v>2512592</v>
      </c>
      <c r="K36" s="292">
        <v>30980</v>
      </c>
      <c r="L36" s="292">
        <v>2479806</v>
      </c>
      <c r="M36" s="292">
        <v>0</v>
      </c>
      <c r="N36" s="292">
        <v>0</v>
      </c>
      <c r="O36" s="292">
        <v>0</v>
      </c>
      <c r="P36" s="292">
        <v>0</v>
      </c>
      <c r="Q36" s="292">
        <v>0</v>
      </c>
      <c r="R36" s="292">
        <v>0</v>
      </c>
      <c r="S36" s="292">
        <v>0</v>
      </c>
      <c r="T36" s="292">
        <v>0</v>
      </c>
      <c r="U36" s="292">
        <v>0</v>
      </c>
      <c r="V36" s="292">
        <v>0</v>
      </c>
      <c r="W36" s="292">
        <v>0</v>
      </c>
      <c r="X36" s="292">
        <v>0</v>
      </c>
      <c r="Y36" s="292">
        <f t="shared" si="0"/>
        <v>0</v>
      </c>
      <c r="Z36" s="293">
        <v>1806</v>
      </c>
      <c r="AA36" s="294">
        <v>1</v>
      </c>
      <c r="AB36" s="295">
        <v>44201</v>
      </c>
      <c r="AC36" s="296">
        <v>44221</v>
      </c>
      <c r="AD36" s="293"/>
      <c r="AE36" s="297"/>
      <c r="AF36" s="298"/>
      <c r="AG36" s="296"/>
      <c r="AH36" s="293"/>
      <c r="AI36" s="294"/>
      <c r="AJ36" s="298"/>
      <c r="AK36" s="296"/>
      <c r="AL36" s="293"/>
      <c r="AM36" s="294"/>
      <c r="AN36" s="298"/>
      <c r="AO36" s="296"/>
      <c r="AP36" s="293"/>
      <c r="AQ36" s="294"/>
      <c r="AR36" s="298"/>
      <c r="AS36" s="296"/>
      <c r="AT36" s="132">
        <f t="shared" si="1"/>
        <v>1806</v>
      </c>
      <c r="AU36" s="299">
        <f t="shared" si="2"/>
        <v>1806</v>
      </c>
    </row>
    <row r="37" spans="2:47" s="130" customFormat="1" ht="22.5" x14ac:dyDescent="0.25">
      <c r="B37" s="131">
        <v>22</v>
      </c>
      <c r="C37" s="131" t="s">
        <v>39</v>
      </c>
      <c r="D37" s="288">
        <v>30402476</v>
      </c>
      <c r="E37" s="289" t="s">
        <v>481</v>
      </c>
      <c r="F37" s="289" t="s">
        <v>167</v>
      </c>
      <c r="G37" s="290" t="s">
        <v>452</v>
      </c>
      <c r="H37" s="301" t="s">
        <v>463</v>
      </c>
      <c r="I37" s="291" t="s">
        <v>57</v>
      </c>
      <c r="J37" s="291">
        <v>138779</v>
      </c>
      <c r="K37" s="292">
        <v>125576</v>
      </c>
      <c r="L37" s="292">
        <v>0</v>
      </c>
      <c r="M37" s="292">
        <v>0</v>
      </c>
      <c r="N37" s="292">
        <v>0</v>
      </c>
      <c r="O37" s="292">
        <v>0</v>
      </c>
      <c r="P37" s="292">
        <v>0</v>
      </c>
      <c r="Q37" s="292">
        <v>0</v>
      </c>
      <c r="R37" s="292">
        <v>0</v>
      </c>
      <c r="S37" s="292">
        <v>0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f t="shared" si="0"/>
        <v>0</v>
      </c>
      <c r="Z37" s="293">
        <v>13203</v>
      </c>
      <c r="AA37" s="294">
        <v>1</v>
      </c>
      <c r="AB37" s="295">
        <v>44201</v>
      </c>
      <c r="AC37" s="296">
        <v>44221</v>
      </c>
      <c r="AD37" s="293"/>
      <c r="AE37" s="297"/>
      <c r="AF37" s="298"/>
      <c r="AG37" s="296"/>
      <c r="AH37" s="293"/>
      <c r="AI37" s="294"/>
      <c r="AJ37" s="298"/>
      <c r="AK37" s="296"/>
      <c r="AL37" s="293"/>
      <c r="AM37" s="294"/>
      <c r="AN37" s="298"/>
      <c r="AO37" s="296"/>
      <c r="AP37" s="293"/>
      <c r="AQ37" s="294"/>
      <c r="AR37" s="298"/>
      <c r="AS37" s="296"/>
      <c r="AT37" s="132">
        <f t="shared" si="1"/>
        <v>13203</v>
      </c>
      <c r="AU37" s="299">
        <f t="shared" si="2"/>
        <v>13203</v>
      </c>
    </row>
    <row r="38" spans="2:47" s="130" customFormat="1" ht="22.5" x14ac:dyDescent="0.25">
      <c r="B38" s="131">
        <v>23</v>
      </c>
      <c r="C38" s="131" t="s">
        <v>39</v>
      </c>
      <c r="D38" s="288">
        <v>30402478</v>
      </c>
      <c r="E38" s="289" t="s">
        <v>482</v>
      </c>
      <c r="F38" s="289" t="s">
        <v>167</v>
      </c>
      <c r="G38" s="290" t="s">
        <v>452</v>
      </c>
      <c r="H38" s="301" t="s">
        <v>453</v>
      </c>
      <c r="I38" s="291" t="s">
        <v>57</v>
      </c>
      <c r="J38" s="291">
        <v>116793</v>
      </c>
      <c r="K38" s="292">
        <v>110575</v>
      </c>
      <c r="L38" s="292">
        <v>0</v>
      </c>
      <c r="M38" s="292">
        <v>1750</v>
      </c>
      <c r="N38" s="292">
        <v>1200</v>
      </c>
      <c r="O38" s="292">
        <v>0</v>
      </c>
      <c r="P38" s="292">
        <v>0</v>
      </c>
      <c r="Q38" s="292">
        <v>0</v>
      </c>
      <c r="R38" s="292">
        <v>0</v>
      </c>
      <c r="S38" s="292">
        <v>0</v>
      </c>
      <c r="T38" s="292">
        <v>0</v>
      </c>
      <c r="U38" s="292">
        <v>0</v>
      </c>
      <c r="V38" s="292">
        <v>0</v>
      </c>
      <c r="W38" s="292">
        <v>0</v>
      </c>
      <c r="X38" s="292">
        <v>0</v>
      </c>
      <c r="Y38" s="292">
        <f t="shared" si="0"/>
        <v>2950</v>
      </c>
      <c r="Z38" s="293">
        <v>6218</v>
      </c>
      <c r="AA38" s="294">
        <v>1</v>
      </c>
      <c r="AB38" s="295">
        <v>44201</v>
      </c>
      <c r="AC38" s="296">
        <v>44221</v>
      </c>
      <c r="AD38" s="293"/>
      <c r="AE38" s="297"/>
      <c r="AF38" s="298"/>
      <c r="AG38" s="296"/>
      <c r="AH38" s="293"/>
      <c r="AI38" s="294"/>
      <c r="AJ38" s="298"/>
      <c r="AK38" s="296"/>
      <c r="AL38" s="293"/>
      <c r="AM38" s="294"/>
      <c r="AN38" s="298"/>
      <c r="AO38" s="296"/>
      <c r="AP38" s="293"/>
      <c r="AQ38" s="294"/>
      <c r="AR38" s="298"/>
      <c r="AS38" s="296"/>
      <c r="AT38" s="132">
        <f t="shared" si="1"/>
        <v>6218</v>
      </c>
      <c r="AU38" s="299">
        <f t="shared" si="2"/>
        <v>3268</v>
      </c>
    </row>
    <row r="39" spans="2:47" s="130" customFormat="1" ht="22.5" x14ac:dyDescent="0.25">
      <c r="B39" s="131">
        <v>24</v>
      </c>
      <c r="C39" s="131" t="s">
        <v>39</v>
      </c>
      <c r="D39" s="288">
        <v>30402480</v>
      </c>
      <c r="E39" s="289" t="s">
        <v>483</v>
      </c>
      <c r="F39" s="289" t="s">
        <v>147</v>
      </c>
      <c r="G39" s="290" t="s">
        <v>452</v>
      </c>
      <c r="H39" s="301" t="s">
        <v>453</v>
      </c>
      <c r="I39" s="291" t="s">
        <v>57</v>
      </c>
      <c r="J39" s="291">
        <v>965607</v>
      </c>
      <c r="K39" s="292">
        <v>878873</v>
      </c>
      <c r="L39" s="292">
        <v>0</v>
      </c>
      <c r="M39" s="292">
        <v>0</v>
      </c>
      <c r="N39" s="292"/>
      <c r="O39" s="292">
        <v>0</v>
      </c>
      <c r="P39" s="292">
        <v>0</v>
      </c>
      <c r="Q39" s="292">
        <v>0</v>
      </c>
      <c r="R39" s="292">
        <v>0</v>
      </c>
      <c r="S39" s="292">
        <v>0</v>
      </c>
      <c r="T39" s="292">
        <v>0</v>
      </c>
      <c r="U39" s="292">
        <v>0</v>
      </c>
      <c r="V39" s="292">
        <v>0</v>
      </c>
      <c r="W39" s="292">
        <v>0</v>
      </c>
      <c r="X39" s="292">
        <v>0</v>
      </c>
      <c r="Y39" s="292">
        <f t="shared" si="0"/>
        <v>0</v>
      </c>
      <c r="Z39" s="293">
        <v>86734</v>
      </c>
      <c r="AA39" s="294">
        <v>1</v>
      </c>
      <c r="AB39" s="295">
        <v>44201</v>
      </c>
      <c r="AC39" s="296">
        <v>44221</v>
      </c>
      <c r="AD39" s="293"/>
      <c r="AE39" s="297"/>
      <c r="AF39" s="298"/>
      <c r="AG39" s="296"/>
      <c r="AH39" s="293"/>
      <c r="AI39" s="294"/>
      <c r="AJ39" s="298"/>
      <c r="AK39" s="296"/>
      <c r="AL39" s="293"/>
      <c r="AM39" s="294"/>
      <c r="AN39" s="298"/>
      <c r="AO39" s="296"/>
      <c r="AP39" s="293"/>
      <c r="AQ39" s="294"/>
      <c r="AR39" s="298"/>
      <c r="AS39" s="296"/>
      <c r="AT39" s="132">
        <f t="shared" si="1"/>
        <v>86734</v>
      </c>
      <c r="AU39" s="299">
        <f t="shared" si="2"/>
        <v>86734</v>
      </c>
    </row>
    <row r="40" spans="2:47" s="130" customFormat="1" ht="22.5" x14ac:dyDescent="0.25">
      <c r="B40" s="131">
        <v>25</v>
      </c>
      <c r="C40" s="131" t="s">
        <v>39</v>
      </c>
      <c r="D40" s="288">
        <v>30420635</v>
      </c>
      <c r="E40" s="289" t="s">
        <v>484</v>
      </c>
      <c r="F40" s="289" t="s">
        <v>147</v>
      </c>
      <c r="G40" s="290" t="s">
        <v>452</v>
      </c>
      <c r="H40" s="301" t="s">
        <v>470</v>
      </c>
      <c r="I40" s="291" t="s">
        <v>57</v>
      </c>
      <c r="J40" s="291">
        <v>2016022</v>
      </c>
      <c r="K40" s="292">
        <v>505363</v>
      </c>
      <c r="L40" s="292">
        <v>0</v>
      </c>
      <c r="M40" s="292">
        <v>0</v>
      </c>
      <c r="N40" s="292">
        <v>502759</v>
      </c>
      <c r="O40" s="292">
        <v>502759</v>
      </c>
      <c r="P40" s="292">
        <v>0</v>
      </c>
      <c r="Q40" s="292">
        <v>0</v>
      </c>
      <c r="R40" s="292">
        <v>0</v>
      </c>
      <c r="S40" s="292">
        <v>0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f t="shared" si="0"/>
        <v>1005518</v>
      </c>
      <c r="Z40" s="293">
        <v>1510659</v>
      </c>
      <c r="AA40" s="294">
        <v>1</v>
      </c>
      <c r="AB40" s="295">
        <v>44201</v>
      </c>
      <c r="AC40" s="296">
        <v>44221</v>
      </c>
      <c r="AD40" s="293"/>
      <c r="AE40" s="297"/>
      <c r="AF40" s="298"/>
      <c r="AG40" s="296"/>
      <c r="AH40" s="293"/>
      <c r="AI40" s="294"/>
      <c r="AJ40" s="298"/>
      <c r="AK40" s="296"/>
      <c r="AL40" s="293"/>
      <c r="AM40" s="294"/>
      <c r="AN40" s="298"/>
      <c r="AO40" s="296"/>
      <c r="AP40" s="293"/>
      <c r="AQ40" s="294"/>
      <c r="AR40" s="298"/>
      <c r="AS40" s="296"/>
      <c r="AT40" s="132">
        <f t="shared" si="1"/>
        <v>1510659</v>
      </c>
      <c r="AU40" s="299">
        <f t="shared" si="2"/>
        <v>505141</v>
      </c>
    </row>
    <row r="41" spans="2:47" s="130" customFormat="1" ht="22.5" x14ac:dyDescent="0.25">
      <c r="B41" s="131">
        <v>26</v>
      </c>
      <c r="C41" s="131" t="s">
        <v>39</v>
      </c>
      <c r="D41" s="288">
        <v>30452924</v>
      </c>
      <c r="E41" s="289" t="s">
        <v>485</v>
      </c>
      <c r="F41" s="289" t="s">
        <v>193</v>
      </c>
      <c r="G41" s="290" t="s">
        <v>452</v>
      </c>
      <c r="H41" s="301" t="s">
        <v>470</v>
      </c>
      <c r="I41" s="291" t="s">
        <v>57</v>
      </c>
      <c r="J41" s="291">
        <v>109800</v>
      </c>
      <c r="K41" s="292">
        <v>99368</v>
      </c>
      <c r="L41" s="292">
        <v>0</v>
      </c>
      <c r="M41" s="292">
        <v>0</v>
      </c>
      <c r="N41" s="292">
        <v>0</v>
      </c>
      <c r="O41" s="292">
        <v>0</v>
      </c>
      <c r="P41" s="292">
        <v>0</v>
      </c>
      <c r="Q41" s="292">
        <v>0</v>
      </c>
      <c r="R41" s="292">
        <v>0</v>
      </c>
      <c r="S41" s="292">
        <v>0</v>
      </c>
      <c r="T41" s="292">
        <v>0</v>
      </c>
      <c r="U41" s="292">
        <v>0</v>
      </c>
      <c r="V41" s="292">
        <v>0</v>
      </c>
      <c r="W41" s="292">
        <v>0</v>
      </c>
      <c r="X41" s="292">
        <v>0</v>
      </c>
      <c r="Y41" s="292">
        <f t="shared" si="0"/>
        <v>0</v>
      </c>
      <c r="Z41" s="293">
        <v>10432</v>
      </c>
      <c r="AA41" s="294">
        <v>1</v>
      </c>
      <c r="AB41" s="295">
        <v>44201</v>
      </c>
      <c r="AC41" s="296">
        <v>44221</v>
      </c>
      <c r="AD41" s="293"/>
      <c r="AE41" s="297"/>
      <c r="AF41" s="298"/>
      <c r="AG41" s="296"/>
      <c r="AH41" s="293"/>
      <c r="AI41" s="294"/>
      <c r="AJ41" s="298"/>
      <c r="AK41" s="296"/>
      <c r="AL41" s="293"/>
      <c r="AM41" s="294"/>
      <c r="AN41" s="298"/>
      <c r="AO41" s="296"/>
      <c r="AP41" s="293"/>
      <c r="AQ41" s="294"/>
      <c r="AR41" s="298"/>
      <c r="AS41" s="296"/>
      <c r="AT41" s="132">
        <f t="shared" si="1"/>
        <v>10432</v>
      </c>
      <c r="AU41" s="299">
        <f t="shared" si="2"/>
        <v>10432</v>
      </c>
    </row>
    <row r="42" spans="2:47" s="130" customFormat="1" ht="22.5" x14ac:dyDescent="0.25">
      <c r="B42" s="131">
        <v>27</v>
      </c>
      <c r="C42" s="131" t="s">
        <v>39</v>
      </c>
      <c r="D42" s="288">
        <v>30457688</v>
      </c>
      <c r="E42" s="289" t="s">
        <v>486</v>
      </c>
      <c r="F42" s="289" t="s">
        <v>147</v>
      </c>
      <c r="G42" s="290" t="s">
        <v>452</v>
      </c>
      <c r="H42" s="301" t="s">
        <v>453</v>
      </c>
      <c r="I42" s="291" t="s">
        <v>57</v>
      </c>
      <c r="J42" s="291">
        <v>3181323</v>
      </c>
      <c r="K42" s="292">
        <v>2379579</v>
      </c>
      <c r="L42" s="292">
        <v>0</v>
      </c>
      <c r="M42" s="292">
        <v>0</v>
      </c>
      <c r="N42" s="292">
        <v>0</v>
      </c>
      <c r="O42" s="292">
        <v>0</v>
      </c>
      <c r="P42" s="292">
        <v>0</v>
      </c>
      <c r="Q42" s="292">
        <v>0</v>
      </c>
      <c r="R42" s="292">
        <v>0</v>
      </c>
      <c r="S42" s="292">
        <v>0</v>
      </c>
      <c r="T42" s="292">
        <v>0</v>
      </c>
      <c r="U42" s="292">
        <v>0</v>
      </c>
      <c r="V42" s="292">
        <v>0</v>
      </c>
      <c r="W42" s="292">
        <v>0</v>
      </c>
      <c r="X42" s="292">
        <v>0</v>
      </c>
      <c r="Y42" s="292">
        <f t="shared" si="0"/>
        <v>0</v>
      </c>
      <c r="Z42" s="293">
        <v>801744</v>
      </c>
      <c r="AA42" s="294">
        <v>1</v>
      </c>
      <c r="AB42" s="295">
        <v>44201</v>
      </c>
      <c r="AC42" s="296">
        <v>44221</v>
      </c>
      <c r="AD42" s="293"/>
      <c r="AE42" s="297"/>
      <c r="AF42" s="298"/>
      <c r="AG42" s="296"/>
      <c r="AH42" s="293"/>
      <c r="AI42" s="294"/>
      <c r="AJ42" s="298"/>
      <c r="AK42" s="296"/>
      <c r="AL42" s="293"/>
      <c r="AM42" s="294"/>
      <c r="AN42" s="298"/>
      <c r="AO42" s="296"/>
      <c r="AP42" s="293"/>
      <c r="AQ42" s="294"/>
      <c r="AR42" s="298"/>
      <c r="AS42" s="296"/>
      <c r="AT42" s="132">
        <f t="shared" si="1"/>
        <v>801744</v>
      </c>
      <c r="AU42" s="299">
        <f t="shared" si="2"/>
        <v>801744</v>
      </c>
    </row>
    <row r="43" spans="2:47" s="130" customFormat="1" ht="22.5" x14ac:dyDescent="0.25">
      <c r="B43" s="131">
        <v>28</v>
      </c>
      <c r="C43" s="131" t="s">
        <v>39</v>
      </c>
      <c r="D43" s="288">
        <v>30467138</v>
      </c>
      <c r="E43" s="289" t="s">
        <v>487</v>
      </c>
      <c r="F43" s="289" t="s">
        <v>147</v>
      </c>
      <c r="G43" s="290" t="s">
        <v>452</v>
      </c>
      <c r="H43" s="301" t="s">
        <v>470</v>
      </c>
      <c r="I43" s="291" t="s">
        <v>57</v>
      </c>
      <c r="J43" s="291">
        <v>276152</v>
      </c>
      <c r="K43" s="292">
        <v>262076</v>
      </c>
      <c r="L43" s="292">
        <v>0</v>
      </c>
      <c r="M43" s="292">
        <v>0</v>
      </c>
      <c r="N43" s="292">
        <v>0</v>
      </c>
      <c r="O43" s="292">
        <v>0</v>
      </c>
      <c r="P43" s="292">
        <v>0</v>
      </c>
      <c r="Q43" s="292">
        <v>0</v>
      </c>
      <c r="R43" s="292">
        <v>0</v>
      </c>
      <c r="S43" s="292">
        <v>0</v>
      </c>
      <c r="T43" s="292">
        <v>0</v>
      </c>
      <c r="U43" s="292">
        <v>0</v>
      </c>
      <c r="V43" s="292">
        <v>0</v>
      </c>
      <c r="W43" s="292">
        <v>0</v>
      </c>
      <c r="X43" s="292">
        <v>0</v>
      </c>
      <c r="Y43" s="292">
        <f t="shared" si="0"/>
        <v>0</v>
      </c>
      <c r="Z43" s="293">
        <v>14076</v>
      </c>
      <c r="AA43" s="294">
        <v>1</v>
      </c>
      <c r="AB43" s="295">
        <v>44201</v>
      </c>
      <c r="AC43" s="296">
        <v>44221</v>
      </c>
      <c r="AD43" s="293"/>
      <c r="AE43" s="297"/>
      <c r="AF43" s="298"/>
      <c r="AG43" s="296"/>
      <c r="AH43" s="293"/>
      <c r="AI43" s="294"/>
      <c r="AJ43" s="298"/>
      <c r="AK43" s="296"/>
      <c r="AL43" s="293"/>
      <c r="AM43" s="294"/>
      <c r="AN43" s="298"/>
      <c r="AO43" s="296"/>
      <c r="AP43" s="293"/>
      <c r="AQ43" s="294"/>
      <c r="AR43" s="298"/>
      <c r="AS43" s="296"/>
      <c r="AT43" s="132">
        <f t="shared" si="1"/>
        <v>14076</v>
      </c>
      <c r="AU43" s="299">
        <f t="shared" si="2"/>
        <v>14076</v>
      </c>
    </row>
    <row r="44" spans="2:47" s="130" customFormat="1" x14ac:dyDescent="0.25">
      <c r="B44" s="131">
        <v>29</v>
      </c>
      <c r="C44" s="131" t="s">
        <v>39</v>
      </c>
      <c r="D44" s="288">
        <v>30474249</v>
      </c>
      <c r="E44" s="289" t="s">
        <v>488</v>
      </c>
      <c r="F44" s="289" t="s">
        <v>147</v>
      </c>
      <c r="G44" s="290" t="s">
        <v>452</v>
      </c>
      <c r="H44" s="301" t="s">
        <v>470</v>
      </c>
      <c r="I44" s="291" t="s">
        <v>57</v>
      </c>
      <c r="J44" s="291">
        <v>101632</v>
      </c>
      <c r="K44" s="292">
        <v>0</v>
      </c>
      <c r="L44" s="292">
        <v>0</v>
      </c>
      <c r="M44" s="292">
        <v>0</v>
      </c>
      <c r="N44" s="292">
        <v>0</v>
      </c>
      <c r="O44" s="292">
        <v>0</v>
      </c>
      <c r="P44" s="292">
        <v>0</v>
      </c>
      <c r="Q44" s="292">
        <v>0</v>
      </c>
      <c r="R44" s="292">
        <v>0</v>
      </c>
      <c r="S44" s="292">
        <v>0</v>
      </c>
      <c r="T44" s="292">
        <v>0</v>
      </c>
      <c r="U44" s="292">
        <v>0</v>
      </c>
      <c r="V44" s="292">
        <v>0</v>
      </c>
      <c r="W44" s="292">
        <v>0</v>
      </c>
      <c r="X44" s="292">
        <v>0</v>
      </c>
      <c r="Y44" s="292">
        <f t="shared" si="0"/>
        <v>0</v>
      </c>
      <c r="Z44" s="293">
        <v>101632</v>
      </c>
      <c r="AA44" s="294">
        <v>1</v>
      </c>
      <c r="AB44" s="295">
        <v>44201</v>
      </c>
      <c r="AC44" s="296">
        <v>44221</v>
      </c>
      <c r="AD44" s="293"/>
      <c r="AE44" s="297"/>
      <c r="AF44" s="298"/>
      <c r="AG44" s="296"/>
      <c r="AH44" s="293"/>
      <c r="AI44" s="294"/>
      <c r="AJ44" s="298"/>
      <c r="AK44" s="296"/>
      <c r="AL44" s="293"/>
      <c r="AM44" s="294"/>
      <c r="AN44" s="298"/>
      <c r="AO44" s="296"/>
      <c r="AP44" s="293"/>
      <c r="AQ44" s="294"/>
      <c r="AR44" s="298"/>
      <c r="AS44" s="296"/>
      <c r="AT44" s="132">
        <f t="shared" si="1"/>
        <v>101632</v>
      </c>
      <c r="AU44" s="299">
        <f t="shared" si="2"/>
        <v>101632</v>
      </c>
    </row>
    <row r="45" spans="2:47" s="130" customFormat="1" ht="22.5" x14ac:dyDescent="0.25">
      <c r="B45" s="131">
        <v>30</v>
      </c>
      <c r="C45" s="131" t="s">
        <v>39</v>
      </c>
      <c r="D45" s="288">
        <v>30479810</v>
      </c>
      <c r="E45" s="289" t="s">
        <v>489</v>
      </c>
      <c r="F45" s="289" t="s">
        <v>147</v>
      </c>
      <c r="G45" s="290" t="s">
        <v>452</v>
      </c>
      <c r="H45" s="301" t="s">
        <v>455</v>
      </c>
      <c r="I45" s="291" t="s">
        <v>57</v>
      </c>
      <c r="J45" s="291">
        <v>1075362</v>
      </c>
      <c r="K45" s="292">
        <v>716180</v>
      </c>
      <c r="L45" s="292">
        <v>0</v>
      </c>
      <c r="M45" s="292">
        <v>0</v>
      </c>
      <c r="N45" s="292">
        <v>31403</v>
      </c>
      <c r="O45" s="292">
        <v>80814</v>
      </c>
      <c r="P45" s="292">
        <v>0</v>
      </c>
      <c r="Q45" s="292">
        <v>0</v>
      </c>
      <c r="R45" s="292">
        <v>0</v>
      </c>
      <c r="S45" s="292">
        <v>0</v>
      </c>
      <c r="T45" s="292">
        <v>0</v>
      </c>
      <c r="U45" s="292">
        <v>0</v>
      </c>
      <c r="V45" s="292">
        <v>0</v>
      </c>
      <c r="W45" s="292">
        <v>0</v>
      </c>
      <c r="X45" s="292">
        <v>0</v>
      </c>
      <c r="Y45" s="292">
        <f t="shared" si="0"/>
        <v>112217</v>
      </c>
      <c r="Z45" s="293">
        <v>359182</v>
      </c>
      <c r="AA45" s="294">
        <v>1</v>
      </c>
      <c r="AB45" s="295">
        <v>44201</v>
      </c>
      <c r="AC45" s="296">
        <v>44221</v>
      </c>
      <c r="AD45" s="293"/>
      <c r="AE45" s="297"/>
      <c r="AF45" s="298"/>
      <c r="AG45" s="296"/>
      <c r="AH45" s="293"/>
      <c r="AI45" s="294"/>
      <c r="AJ45" s="298"/>
      <c r="AK45" s="296"/>
      <c r="AL45" s="293"/>
      <c r="AM45" s="294"/>
      <c r="AN45" s="298"/>
      <c r="AO45" s="296"/>
      <c r="AP45" s="293"/>
      <c r="AQ45" s="294"/>
      <c r="AR45" s="298"/>
      <c r="AS45" s="296"/>
      <c r="AT45" s="132">
        <f t="shared" si="1"/>
        <v>359182</v>
      </c>
      <c r="AU45" s="299">
        <f t="shared" si="2"/>
        <v>246965</v>
      </c>
    </row>
    <row r="46" spans="2:47" s="130" customFormat="1" ht="22.5" x14ac:dyDescent="0.25">
      <c r="B46" s="131">
        <v>31</v>
      </c>
      <c r="C46" s="131" t="s">
        <v>39</v>
      </c>
      <c r="D46" s="288">
        <v>30481623</v>
      </c>
      <c r="E46" s="289" t="s">
        <v>490</v>
      </c>
      <c r="F46" s="289" t="s">
        <v>193</v>
      </c>
      <c r="G46" s="290" t="s">
        <v>452</v>
      </c>
      <c r="H46" s="301" t="s">
        <v>470</v>
      </c>
      <c r="I46" s="291" t="s">
        <v>57</v>
      </c>
      <c r="J46" s="291">
        <v>114402</v>
      </c>
      <c r="K46" s="292">
        <v>1127</v>
      </c>
      <c r="L46" s="292">
        <v>1</v>
      </c>
      <c r="M46" s="292">
        <v>0</v>
      </c>
      <c r="N46" s="292">
        <v>0</v>
      </c>
      <c r="O46" s="292">
        <v>0</v>
      </c>
      <c r="P46" s="292">
        <v>0</v>
      </c>
      <c r="Q46" s="292">
        <v>0</v>
      </c>
      <c r="R46" s="292">
        <v>0</v>
      </c>
      <c r="S46" s="292">
        <v>0</v>
      </c>
      <c r="T46" s="292">
        <v>0</v>
      </c>
      <c r="U46" s="292">
        <v>0</v>
      </c>
      <c r="V46" s="292">
        <v>0</v>
      </c>
      <c r="W46" s="292">
        <v>0</v>
      </c>
      <c r="X46" s="292">
        <v>0</v>
      </c>
      <c r="Y46" s="292">
        <f t="shared" si="0"/>
        <v>0</v>
      </c>
      <c r="Z46" s="293">
        <v>113274</v>
      </c>
      <c r="AA46" s="294">
        <v>1</v>
      </c>
      <c r="AB46" s="295">
        <v>44201</v>
      </c>
      <c r="AC46" s="296">
        <v>44221</v>
      </c>
      <c r="AD46" s="293"/>
      <c r="AE46" s="297"/>
      <c r="AF46" s="298"/>
      <c r="AG46" s="296"/>
      <c r="AH46" s="293"/>
      <c r="AI46" s="294"/>
      <c r="AJ46" s="298"/>
      <c r="AK46" s="296"/>
      <c r="AL46" s="293"/>
      <c r="AM46" s="294"/>
      <c r="AN46" s="298"/>
      <c r="AO46" s="296"/>
      <c r="AP46" s="293"/>
      <c r="AQ46" s="294"/>
      <c r="AR46" s="298"/>
      <c r="AS46" s="296"/>
      <c r="AT46" s="132">
        <f t="shared" si="1"/>
        <v>113274</v>
      </c>
      <c r="AU46" s="299">
        <f t="shared" si="2"/>
        <v>113274</v>
      </c>
    </row>
    <row r="47" spans="2:47" s="130" customFormat="1" ht="22.5" x14ac:dyDescent="0.25">
      <c r="B47" s="131">
        <v>32</v>
      </c>
      <c r="C47" s="131" t="s">
        <v>42</v>
      </c>
      <c r="D47" s="288">
        <v>30481656</v>
      </c>
      <c r="E47" s="289" t="s">
        <v>491</v>
      </c>
      <c r="F47" s="289" t="s">
        <v>147</v>
      </c>
      <c r="G47" s="290" t="s">
        <v>452</v>
      </c>
      <c r="H47" s="301" t="s">
        <v>459</v>
      </c>
      <c r="I47" s="291" t="s">
        <v>57</v>
      </c>
      <c r="J47" s="291">
        <v>212516</v>
      </c>
      <c r="K47" s="292">
        <v>134916</v>
      </c>
      <c r="L47" s="292">
        <v>0</v>
      </c>
      <c r="M47" s="292">
        <v>0</v>
      </c>
      <c r="N47" s="292">
        <v>0</v>
      </c>
      <c r="O47" s="292">
        <v>0</v>
      </c>
      <c r="P47" s="292">
        <v>0</v>
      </c>
      <c r="Q47" s="292">
        <v>0</v>
      </c>
      <c r="R47" s="292">
        <v>0</v>
      </c>
      <c r="S47" s="292">
        <v>0</v>
      </c>
      <c r="T47" s="292">
        <v>0</v>
      </c>
      <c r="U47" s="292">
        <v>0</v>
      </c>
      <c r="V47" s="292">
        <v>0</v>
      </c>
      <c r="W47" s="292">
        <v>0</v>
      </c>
      <c r="X47" s="292">
        <v>0</v>
      </c>
      <c r="Y47" s="292">
        <f t="shared" si="0"/>
        <v>0</v>
      </c>
      <c r="Z47" s="293">
        <v>77600</v>
      </c>
      <c r="AA47" s="294">
        <v>1</v>
      </c>
      <c r="AB47" s="295">
        <v>44201</v>
      </c>
      <c r="AC47" s="296">
        <v>44221</v>
      </c>
      <c r="AD47" s="293"/>
      <c r="AE47" s="297"/>
      <c r="AF47" s="298"/>
      <c r="AG47" s="296"/>
      <c r="AH47" s="293"/>
      <c r="AI47" s="294"/>
      <c r="AJ47" s="298"/>
      <c r="AK47" s="296"/>
      <c r="AL47" s="293"/>
      <c r="AM47" s="294"/>
      <c r="AN47" s="298"/>
      <c r="AO47" s="296"/>
      <c r="AP47" s="293"/>
      <c r="AQ47" s="294"/>
      <c r="AR47" s="298"/>
      <c r="AS47" s="296"/>
      <c r="AT47" s="132">
        <f t="shared" si="1"/>
        <v>77600</v>
      </c>
      <c r="AU47" s="299">
        <f t="shared" si="2"/>
        <v>77600</v>
      </c>
    </row>
    <row r="48" spans="2:47" s="130" customFormat="1" x14ac:dyDescent="0.25">
      <c r="B48" s="131">
        <v>33</v>
      </c>
      <c r="C48" s="131" t="s">
        <v>39</v>
      </c>
      <c r="D48" s="288">
        <v>30481908</v>
      </c>
      <c r="E48" s="289" t="s">
        <v>492</v>
      </c>
      <c r="F48" s="289" t="s">
        <v>147</v>
      </c>
      <c r="G48" s="290" t="s">
        <v>452</v>
      </c>
      <c r="H48" s="301" t="s">
        <v>455</v>
      </c>
      <c r="I48" s="291" t="s">
        <v>57</v>
      </c>
      <c r="J48" s="291">
        <v>1694579</v>
      </c>
      <c r="K48" s="292">
        <v>753023</v>
      </c>
      <c r="L48" s="292">
        <v>0</v>
      </c>
      <c r="M48" s="292">
        <v>0</v>
      </c>
      <c r="N48" s="292">
        <v>90002</v>
      </c>
      <c r="O48" s="292">
        <v>170177</v>
      </c>
      <c r="P48" s="292">
        <v>0</v>
      </c>
      <c r="Q48" s="292">
        <v>0</v>
      </c>
      <c r="R48" s="292">
        <v>0</v>
      </c>
      <c r="S48" s="292">
        <v>0</v>
      </c>
      <c r="T48" s="292">
        <v>0</v>
      </c>
      <c r="U48" s="292">
        <v>0</v>
      </c>
      <c r="V48" s="292">
        <v>0</v>
      </c>
      <c r="W48" s="292">
        <v>0</v>
      </c>
      <c r="X48" s="292">
        <v>0</v>
      </c>
      <c r="Y48" s="292">
        <f t="shared" si="0"/>
        <v>260179</v>
      </c>
      <c r="Z48" s="293">
        <v>941556</v>
      </c>
      <c r="AA48" s="294">
        <v>1</v>
      </c>
      <c r="AB48" s="295">
        <v>44201</v>
      </c>
      <c r="AC48" s="296">
        <v>44221</v>
      </c>
      <c r="AD48" s="293"/>
      <c r="AE48" s="297"/>
      <c r="AF48" s="298"/>
      <c r="AG48" s="296"/>
      <c r="AH48" s="293"/>
      <c r="AI48" s="294"/>
      <c r="AJ48" s="298"/>
      <c r="AK48" s="296"/>
      <c r="AL48" s="293"/>
      <c r="AM48" s="294"/>
      <c r="AN48" s="298"/>
      <c r="AO48" s="296"/>
      <c r="AP48" s="293"/>
      <c r="AQ48" s="294"/>
      <c r="AR48" s="298"/>
      <c r="AS48" s="296"/>
      <c r="AT48" s="132">
        <f t="shared" si="1"/>
        <v>941556</v>
      </c>
      <c r="AU48" s="299">
        <f t="shared" si="2"/>
        <v>681377</v>
      </c>
    </row>
    <row r="49" spans="2:163" s="130" customFormat="1" ht="22.5" x14ac:dyDescent="0.25">
      <c r="B49" s="131">
        <v>34</v>
      </c>
      <c r="C49" s="131" t="s">
        <v>39</v>
      </c>
      <c r="D49" s="288">
        <v>30482079</v>
      </c>
      <c r="E49" s="289" t="s">
        <v>493</v>
      </c>
      <c r="F49" s="289" t="s">
        <v>193</v>
      </c>
      <c r="G49" s="290" t="s">
        <v>452</v>
      </c>
      <c r="H49" s="301" t="s">
        <v>459</v>
      </c>
      <c r="I49" s="291" t="s">
        <v>57</v>
      </c>
      <c r="J49" s="291">
        <v>141613</v>
      </c>
      <c r="K49" s="292">
        <v>80742</v>
      </c>
      <c r="L49" s="292">
        <v>0</v>
      </c>
      <c r="M49" s="292">
        <v>28645</v>
      </c>
      <c r="N49" s="292">
        <v>0</v>
      </c>
      <c r="O49" s="292">
        <v>0</v>
      </c>
      <c r="P49" s="292">
        <v>0</v>
      </c>
      <c r="Q49" s="292">
        <v>0</v>
      </c>
      <c r="R49" s="292">
        <v>0</v>
      </c>
      <c r="S49" s="292">
        <v>0</v>
      </c>
      <c r="T49" s="292">
        <v>0</v>
      </c>
      <c r="U49" s="292">
        <v>0</v>
      </c>
      <c r="V49" s="292">
        <v>0</v>
      </c>
      <c r="W49" s="292">
        <v>0</v>
      </c>
      <c r="X49" s="292">
        <v>0</v>
      </c>
      <c r="Y49" s="292">
        <f t="shared" si="0"/>
        <v>28645</v>
      </c>
      <c r="Z49" s="293">
        <v>60871</v>
      </c>
      <c r="AA49" s="294">
        <v>1</v>
      </c>
      <c r="AB49" s="295">
        <v>44201</v>
      </c>
      <c r="AC49" s="296">
        <v>44221</v>
      </c>
      <c r="AD49" s="293"/>
      <c r="AE49" s="297"/>
      <c r="AF49" s="298"/>
      <c r="AG49" s="296"/>
      <c r="AH49" s="293"/>
      <c r="AI49" s="294"/>
      <c r="AJ49" s="298"/>
      <c r="AK49" s="296"/>
      <c r="AL49" s="293"/>
      <c r="AM49" s="294"/>
      <c r="AN49" s="298"/>
      <c r="AO49" s="296"/>
      <c r="AP49" s="293"/>
      <c r="AQ49" s="294"/>
      <c r="AR49" s="298"/>
      <c r="AS49" s="296"/>
      <c r="AT49" s="132">
        <f t="shared" si="1"/>
        <v>60871</v>
      </c>
      <c r="AU49" s="299">
        <f t="shared" si="2"/>
        <v>32226</v>
      </c>
    </row>
    <row r="50" spans="2:163" s="130" customFormat="1" ht="22.5" x14ac:dyDescent="0.25">
      <c r="B50" s="131">
        <v>35</v>
      </c>
      <c r="C50" s="131" t="s">
        <v>39</v>
      </c>
      <c r="D50" s="288">
        <v>30483963</v>
      </c>
      <c r="E50" s="289" t="s">
        <v>494</v>
      </c>
      <c r="F50" s="289" t="s">
        <v>167</v>
      </c>
      <c r="G50" s="290" t="s">
        <v>452</v>
      </c>
      <c r="H50" s="301" t="s">
        <v>455</v>
      </c>
      <c r="I50" s="291" t="s">
        <v>57</v>
      </c>
      <c r="J50" s="291">
        <v>110633</v>
      </c>
      <c r="K50" s="292">
        <v>99848</v>
      </c>
      <c r="L50" s="292">
        <v>0</v>
      </c>
      <c r="M50" s="292">
        <v>0</v>
      </c>
      <c r="N50" s="292">
        <v>10785</v>
      </c>
      <c r="O50" s="292">
        <v>0</v>
      </c>
      <c r="P50" s="292">
        <v>0</v>
      </c>
      <c r="Q50" s="292">
        <v>0</v>
      </c>
      <c r="R50" s="292">
        <v>0</v>
      </c>
      <c r="S50" s="292">
        <v>0</v>
      </c>
      <c r="T50" s="292">
        <v>0</v>
      </c>
      <c r="U50" s="292">
        <v>0</v>
      </c>
      <c r="V50" s="292">
        <v>0</v>
      </c>
      <c r="W50" s="292">
        <v>0</v>
      </c>
      <c r="X50" s="292">
        <v>0</v>
      </c>
      <c r="Y50" s="292">
        <f t="shared" si="0"/>
        <v>10785</v>
      </c>
      <c r="Z50" s="293">
        <v>10785</v>
      </c>
      <c r="AA50" s="294">
        <v>1</v>
      </c>
      <c r="AB50" s="295">
        <v>44201</v>
      </c>
      <c r="AC50" s="296">
        <v>44221</v>
      </c>
      <c r="AD50" s="293"/>
      <c r="AE50" s="297"/>
      <c r="AF50" s="298"/>
      <c r="AG50" s="296"/>
      <c r="AH50" s="293"/>
      <c r="AI50" s="294"/>
      <c r="AJ50" s="298"/>
      <c r="AK50" s="296"/>
      <c r="AL50" s="293"/>
      <c r="AM50" s="294"/>
      <c r="AN50" s="298"/>
      <c r="AO50" s="296"/>
      <c r="AP50" s="293"/>
      <c r="AQ50" s="294"/>
      <c r="AR50" s="298"/>
      <c r="AS50" s="296"/>
      <c r="AT50" s="132">
        <f t="shared" si="1"/>
        <v>10785</v>
      </c>
      <c r="AU50" s="299">
        <f t="shared" si="2"/>
        <v>0</v>
      </c>
    </row>
    <row r="51" spans="2:163" s="130" customFormat="1" ht="22.5" x14ac:dyDescent="0.25">
      <c r="B51" s="131">
        <v>36</v>
      </c>
      <c r="C51" s="131" t="s">
        <v>39</v>
      </c>
      <c r="D51" s="288">
        <v>30485186</v>
      </c>
      <c r="E51" s="289" t="s">
        <v>495</v>
      </c>
      <c r="F51" s="289" t="s">
        <v>147</v>
      </c>
      <c r="G51" s="290" t="s">
        <v>452</v>
      </c>
      <c r="H51" s="301" t="s">
        <v>453</v>
      </c>
      <c r="I51" s="291" t="s">
        <v>57</v>
      </c>
      <c r="J51" s="291">
        <v>20800518</v>
      </c>
      <c r="K51" s="292">
        <v>1439952</v>
      </c>
      <c r="L51" s="292">
        <v>6444270</v>
      </c>
      <c r="M51" s="292">
        <v>438244</v>
      </c>
      <c r="N51" s="292">
        <v>0</v>
      </c>
      <c r="O51" s="292">
        <v>148174</v>
      </c>
      <c r="P51" s="292">
        <v>0</v>
      </c>
      <c r="Q51" s="292">
        <v>0</v>
      </c>
      <c r="R51" s="292">
        <v>0</v>
      </c>
      <c r="S51" s="292">
        <v>0</v>
      </c>
      <c r="T51" s="292">
        <v>0</v>
      </c>
      <c r="U51" s="292">
        <v>0</v>
      </c>
      <c r="V51" s="292">
        <v>0</v>
      </c>
      <c r="W51" s="292">
        <v>0</v>
      </c>
      <c r="X51" s="292">
        <v>0</v>
      </c>
      <c r="Y51" s="292">
        <f t="shared" si="0"/>
        <v>586418</v>
      </c>
      <c r="Z51" s="293">
        <v>2661000</v>
      </c>
      <c r="AA51" s="294">
        <v>1</v>
      </c>
      <c r="AB51" s="295">
        <v>44201</v>
      </c>
      <c r="AC51" s="296">
        <v>44221</v>
      </c>
      <c r="AD51" s="293"/>
      <c r="AE51" s="297"/>
      <c r="AF51" s="298"/>
      <c r="AG51" s="296"/>
      <c r="AH51" s="293"/>
      <c r="AI51" s="294"/>
      <c r="AJ51" s="298"/>
      <c r="AK51" s="296"/>
      <c r="AL51" s="293"/>
      <c r="AM51" s="294"/>
      <c r="AN51" s="298"/>
      <c r="AO51" s="296"/>
      <c r="AP51" s="293"/>
      <c r="AQ51" s="294"/>
      <c r="AR51" s="298"/>
      <c r="AS51" s="296"/>
      <c r="AT51" s="132">
        <f t="shared" si="1"/>
        <v>2661000</v>
      </c>
      <c r="AU51" s="299">
        <f t="shared" si="2"/>
        <v>2074582</v>
      </c>
    </row>
    <row r="52" spans="2:163" s="130" customFormat="1" ht="22.5" x14ac:dyDescent="0.25">
      <c r="B52" s="131">
        <v>37</v>
      </c>
      <c r="C52" s="131" t="s">
        <v>39</v>
      </c>
      <c r="D52" s="288">
        <v>30486108</v>
      </c>
      <c r="E52" s="289" t="s">
        <v>496</v>
      </c>
      <c r="F52" s="289" t="s">
        <v>193</v>
      </c>
      <c r="G52" s="290" t="s">
        <v>452</v>
      </c>
      <c r="H52" s="301" t="s">
        <v>453</v>
      </c>
      <c r="I52" s="291" t="s">
        <v>57</v>
      </c>
      <c r="J52" s="291">
        <v>232109</v>
      </c>
      <c r="K52" s="292">
        <v>3727</v>
      </c>
      <c r="L52" s="292">
        <v>0</v>
      </c>
      <c r="M52" s="292">
        <v>0</v>
      </c>
      <c r="N52" s="292">
        <v>0</v>
      </c>
      <c r="O52" s="292">
        <v>21700</v>
      </c>
      <c r="P52" s="292">
        <v>0</v>
      </c>
      <c r="Q52" s="292">
        <v>0</v>
      </c>
      <c r="R52" s="292">
        <v>0</v>
      </c>
      <c r="S52" s="292">
        <v>0</v>
      </c>
      <c r="T52" s="292">
        <v>0</v>
      </c>
      <c r="U52" s="292">
        <v>0</v>
      </c>
      <c r="V52" s="292">
        <v>0</v>
      </c>
      <c r="W52" s="292">
        <v>0</v>
      </c>
      <c r="X52" s="292">
        <v>0</v>
      </c>
      <c r="Y52" s="292">
        <f t="shared" si="0"/>
        <v>21700</v>
      </c>
      <c r="Z52" s="293">
        <v>228382</v>
      </c>
      <c r="AA52" s="294">
        <v>1</v>
      </c>
      <c r="AB52" s="295">
        <v>44201</v>
      </c>
      <c r="AC52" s="296">
        <v>44221</v>
      </c>
      <c r="AD52" s="293"/>
      <c r="AE52" s="297"/>
      <c r="AF52" s="298"/>
      <c r="AG52" s="296"/>
      <c r="AH52" s="293"/>
      <c r="AI52" s="294"/>
      <c r="AJ52" s="298"/>
      <c r="AK52" s="296"/>
      <c r="AL52" s="293"/>
      <c r="AM52" s="294"/>
      <c r="AN52" s="298"/>
      <c r="AO52" s="296"/>
      <c r="AP52" s="293"/>
      <c r="AQ52" s="294"/>
      <c r="AR52" s="298"/>
      <c r="AS52" s="296"/>
      <c r="AT52" s="132">
        <f t="shared" si="1"/>
        <v>228382</v>
      </c>
      <c r="AU52" s="299">
        <f t="shared" si="2"/>
        <v>206682</v>
      </c>
    </row>
    <row r="53" spans="2:163" s="130" customFormat="1" ht="22.5" x14ac:dyDescent="0.25">
      <c r="B53" s="131">
        <v>38</v>
      </c>
      <c r="C53" s="131" t="s">
        <v>39</v>
      </c>
      <c r="D53" s="288">
        <v>30486510</v>
      </c>
      <c r="E53" s="289" t="s">
        <v>497</v>
      </c>
      <c r="F53" s="289" t="s">
        <v>193</v>
      </c>
      <c r="G53" s="290" t="s">
        <v>452</v>
      </c>
      <c r="H53" s="301" t="s">
        <v>453</v>
      </c>
      <c r="I53" s="291" t="s">
        <v>57</v>
      </c>
      <c r="J53" s="291">
        <v>164052</v>
      </c>
      <c r="K53" s="292">
        <v>1268</v>
      </c>
      <c r="L53" s="292">
        <v>1</v>
      </c>
      <c r="M53" s="292">
        <v>0</v>
      </c>
      <c r="N53" s="292">
        <v>0</v>
      </c>
      <c r="O53" s="292">
        <v>0</v>
      </c>
      <c r="P53" s="292">
        <v>0</v>
      </c>
      <c r="Q53" s="292">
        <v>0</v>
      </c>
      <c r="R53" s="292">
        <v>0</v>
      </c>
      <c r="S53" s="292">
        <v>0</v>
      </c>
      <c r="T53" s="292">
        <v>0</v>
      </c>
      <c r="U53" s="292">
        <v>0</v>
      </c>
      <c r="V53" s="292">
        <v>0</v>
      </c>
      <c r="W53" s="292">
        <v>0</v>
      </c>
      <c r="X53" s="292">
        <v>0</v>
      </c>
      <c r="Y53" s="292">
        <f t="shared" si="0"/>
        <v>0</v>
      </c>
      <c r="Z53" s="293">
        <v>162783</v>
      </c>
      <c r="AA53" s="294">
        <v>1</v>
      </c>
      <c r="AB53" s="295">
        <v>44201</v>
      </c>
      <c r="AC53" s="296">
        <v>44221</v>
      </c>
      <c r="AD53" s="293"/>
      <c r="AE53" s="297"/>
      <c r="AF53" s="298"/>
      <c r="AG53" s="296"/>
      <c r="AH53" s="293"/>
      <c r="AI53" s="294"/>
      <c r="AJ53" s="298"/>
      <c r="AK53" s="296"/>
      <c r="AL53" s="293"/>
      <c r="AM53" s="294"/>
      <c r="AN53" s="298"/>
      <c r="AO53" s="296"/>
      <c r="AP53" s="293"/>
      <c r="AQ53" s="294"/>
      <c r="AR53" s="298"/>
      <c r="AS53" s="296"/>
      <c r="AT53" s="132">
        <f t="shared" si="1"/>
        <v>162783</v>
      </c>
      <c r="AU53" s="299">
        <f t="shared" si="2"/>
        <v>162783</v>
      </c>
    </row>
    <row r="54" spans="2:163" s="130" customFormat="1" ht="22.5" x14ac:dyDescent="0.25">
      <c r="B54" s="131">
        <v>39</v>
      </c>
      <c r="C54" s="131" t="s">
        <v>39</v>
      </c>
      <c r="D54" s="288">
        <v>40008790</v>
      </c>
      <c r="E54" s="289" t="s">
        <v>498</v>
      </c>
      <c r="F54" s="289" t="s">
        <v>147</v>
      </c>
      <c r="G54" s="290" t="s">
        <v>452</v>
      </c>
      <c r="H54" s="301" t="s">
        <v>455</v>
      </c>
      <c r="I54" s="291" t="s">
        <v>57</v>
      </c>
      <c r="J54" s="291">
        <v>6042019</v>
      </c>
      <c r="K54" s="292">
        <v>3509533</v>
      </c>
      <c r="L54" s="292">
        <v>0</v>
      </c>
      <c r="M54" s="292">
        <v>1350549</v>
      </c>
      <c r="N54" s="292">
        <v>472858</v>
      </c>
      <c r="O54" s="292">
        <v>247708</v>
      </c>
      <c r="P54" s="292">
        <v>0</v>
      </c>
      <c r="Q54" s="292">
        <v>0</v>
      </c>
      <c r="R54" s="292">
        <v>0</v>
      </c>
      <c r="S54" s="292">
        <v>0</v>
      </c>
      <c r="T54" s="292">
        <v>0</v>
      </c>
      <c r="U54" s="292">
        <v>0</v>
      </c>
      <c r="V54" s="292">
        <v>0</v>
      </c>
      <c r="W54" s="292">
        <v>0</v>
      </c>
      <c r="X54" s="292">
        <v>0</v>
      </c>
      <c r="Y54" s="292">
        <f t="shared" si="0"/>
        <v>2071115</v>
      </c>
      <c r="Z54" s="293">
        <v>2532486</v>
      </c>
      <c r="AA54" s="294">
        <v>1</v>
      </c>
      <c r="AB54" s="295">
        <v>44201</v>
      </c>
      <c r="AC54" s="296">
        <v>44221</v>
      </c>
      <c r="AD54" s="293"/>
      <c r="AE54" s="297"/>
      <c r="AF54" s="298"/>
      <c r="AG54" s="296"/>
      <c r="AH54" s="293"/>
      <c r="AI54" s="294"/>
      <c r="AJ54" s="298"/>
      <c r="AK54" s="296"/>
      <c r="AL54" s="293"/>
      <c r="AM54" s="294"/>
      <c r="AN54" s="298"/>
      <c r="AO54" s="296"/>
      <c r="AP54" s="293"/>
      <c r="AQ54" s="294"/>
      <c r="AR54" s="298"/>
      <c r="AS54" s="296"/>
      <c r="AT54" s="132">
        <f t="shared" si="1"/>
        <v>2532486</v>
      </c>
      <c r="AU54" s="299">
        <f t="shared" si="2"/>
        <v>461371</v>
      </c>
    </row>
    <row r="55" spans="2:163" s="130" customFormat="1" ht="22.5" x14ac:dyDescent="0.25">
      <c r="B55" s="131">
        <v>40</v>
      </c>
      <c r="C55" s="131" t="s">
        <v>39</v>
      </c>
      <c r="D55" s="288">
        <v>40014026</v>
      </c>
      <c r="E55" s="289" t="s">
        <v>499</v>
      </c>
      <c r="F55" s="289" t="s">
        <v>147</v>
      </c>
      <c r="G55" s="290" t="s">
        <v>452</v>
      </c>
      <c r="H55" s="301" t="s">
        <v>453</v>
      </c>
      <c r="I55" s="291" t="s">
        <v>57</v>
      </c>
      <c r="J55" s="291">
        <v>957931</v>
      </c>
      <c r="K55" s="292">
        <v>8311</v>
      </c>
      <c r="L55" s="292">
        <v>0</v>
      </c>
      <c r="M55" s="292">
        <v>23693</v>
      </c>
      <c r="N55" s="292">
        <v>15281</v>
      </c>
      <c r="O55" s="292">
        <v>0</v>
      </c>
      <c r="P55" s="292">
        <v>0</v>
      </c>
      <c r="Q55" s="292">
        <v>0</v>
      </c>
      <c r="R55" s="292">
        <v>0</v>
      </c>
      <c r="S55" s="292">
        <v>0</v>
      </c>
      <c r="T55" s="292">
        <v>0</v>
      </c>
      <c r="U55" s="292">
        <v>0</v>
      </c>
      <c r="V55" s="292">
        <v>0</v>
      </c>
      <c r="W55" s="292">
        <v>0</v>
      </c>
      <c r="X55" s="292">
        <v>0</v>
      </c>
      <c r="Y55" s="292">
        <f t="shared" si="0"/>
        <v>38974</v>
      </c>
      <c r="Z55" s="293">
        <v>183625</v>
      </c>
      <c r="AA55" s="294">
        <v>1</v>
      </c>
      <c r="AB55" s="295">
        <v>44201</v>
      </c>
      <c r="AC55" s="296">
        <v>44221</v>
      </c>
      <c r="AD55" s="293"/>
      <c r="AE55" s="297"/>
      <c r="AF55" s="298"/>
      <c r="AG55" s="296"/>
      <c r="AH55" s="293"/>
      <c r="AI55" s="294"/>
      <c r="AJ55" s="298"/>
      <c r="AK55" s="296"/>
      <c r="AL55" s="293"/>
      <c r="AM55" s="294"/>
      <c r="AN55" s="298"/>
      <c r="AO55" s="296"/>
      <c r="AP55" s="293"/>
      <c r="AQ55" s="294"/>
      <c r="AR55" s="298"/>
      <c r="AS55" s="296"/>
      <c r="AT55" s="132">
        <f t="shared" si="1"/>
        <v>183625</v>
      </c>
      <c r="AU55" s="299">
        <f t="shared" si="2"/>
        <v>144651</v>
      </c>
    </row>
    <row r="56" spans="2:163" s="130" customFormat="1" ht="22.5" x14ac:dyDescent="0.25">
      <c r="B56" s="131">
        <v>41</v>
      </c>
      <c r="C56" s="131" t="s">
        <v>39</v>
      </c>
      <c r="D56" s="288">
        <v>40014220</v>
      </c>
      <c r="E56" s="289" t="s">
        <v>500</v>
      </c>
      <c r="F56" s="289" t="s">
        <v>193</v>
      </c>
      <c r="G56" s="290" t="s">
        <v>452</v>
      </c>
      <c r="H56" s="301" t="s">
        <v>476</v>
      </c>
      <c r="I56" s="291" t="s">
        <v>57</v>
      </c>
      <c r="J56" s="291">
        <v>83591</v>
      </c>
      <c r="K56" s="292">
        <v>0</v>
      </c>
      <c r="L56" s="292">
        <v>0</v>
      </c>
      <c r="M56" s="292">
        <v>0</v>
      </c>
      <c r="N56" s="292">
        <v>0</v>
      </c>
      <c r="O56" s="292">
        <v>24000</v>
      </c>
      <c r="P56" s="292">
        <v>0</v>
      </c>
      <c r="Q56" s="292">
        <v>0</v>
      </c>
      <c r="R56" s="292">
        <v>0</v>
      </c>
      <c r="S56" s="292">
        <v>0</v>
      </c>
      <c r="T56" s="292">
        <v>0</v>
      </c>
      <c r="U56" s="292">
        <v>0</v>
      </c>
      <c r="V56" s="292">
        <v>0</v>
      </c>
      <c r="W56" s="292">
        <v>0</v>
      </c>
      <c r="X56" s="292">
        <v>0</v>
      </c>
      <c r="Y56" s="292">
        <f t="shared" si="0"/>
        <v>24000</v>
      </c>
      <c r="Z56" s="293">
        <v>83591</v>
      </c>
      <c r="AA56" s="294">
        <v>1</v>
      </c>
      <c r="AB56" s="295">
        <v>44201</v>
      </c>
      <c r="AC56" s="296">
        <v>44221</v>
      </c>
      <c r="AD56" s="293"/>
      <c r="AE56" s="297"/>
      <c r="AF56" s="298"/>
      <c r="AG56" s="296"/>
      <c r="AH56" s="293"/>
      <c r="AI56" s="294"/>
      <c r="AJ56" s="298"/>
      <c r="AK56" s="296"/>
      <c r="AL56" s="293"/>
      <c r="AM56" s="294"/>
      <c r="AN56" s="298"/>
      <c r="AO56" s="296"/>
      <c r="AP56" s="293"/>
      <c r="AQ56" s="294"/>
      <c r="AR56" s="298"/>
      <c r="AS56" s="296"/>
      <c r="AT56" s="132">
        <f t="shared" si="1"/>
        <v>83591</v>
      </c>
      <c r="AU56" s="299">
        <f t="shared" si="2"/>
        <v>59591</v>
      </c>
    </row>
    <row r="57" spans="2:163" s="130" customFormat="1" ht="22.5" x14ac:dyDescent="0.25">
      <c r="B57" s="131">
        <v>42</v>
      </c>
      <c r="C57" s="131" t="s">
        <v>39</v>
      </c>
      <c r="D57" s="288">
        <v>40018702</v>
      </c>
      <c r="E57" s="289" t="s">
        <v>501</v>
      </c>
      <c r="F57" s="289" t="s">
        <v>147</v>
      </c>
      <c r="G57" s="290" t="s">
        <v>452</v>
      </c>
      <c r="H57" s="301" t="s">
        <v>453</v>
      </c>
      <c r="I57" s="291" t="s">
        <v>57</v>
      </c>
      <c r="J57" s="291">
        <v>2590949</v>
      </c>
      <c r="K57" s="292">
        <v>6668</v>
      </c>
      <c r="L57" s="292">
        <v>1493681</v>
      </c>
      <c r="M57" s="292">
        <v>0</v>
      </c>
      <c r="N57" s="292">
        <v>0</v>
      </c>
      <c r="O57" s="292">
        <v>0</v>
      </c>
      <c r="P57" s="292">
        <v>0</v>
      </c>
      <c r="Q57" s="292">
        <v>0</v>
      </c>
      <c r="R57" s="292">
        <v>0</v>
      </c>
      <c r="S57" s="292">
        <v>0</v>
      </c>
      <c r="T57" s="292">
        <v>0</v>
      </c>
      <c r="U57" s="292">
        <v>0</v>
      </c>
      <c r="V57" s="292">
        <v>0</v>
      </c>
      <c r="W57" s="292">
        <v>0</v>
      </c>
      <c r="X57" s="292">
        <v>0</v>
      </c>
      <c r="Y57" s="292">
        <f t="shared" si="0"/>
        <v>0</v>
      </c>
      <c r="Z57" s="293">
        <v>1090600</v>
      </c>
      <c r="AA57" s="294">
        <v>1</v>
      </c>
      <c r="AB57" s="295">
        <v>44201</v>
      </c>
      <c r="AC57" s="296">
        <v>44221</v>
      </c>
      <c r="AD57" s="293"/>
      <c r="AE57" s="297"/>
      <c r="AF57" s="298"/>
      <c r="AG57" s="296"/>
      <c r="AH57" s="293"/>
      <c r="AI57" s="294"/>
      <c r="AJ57" s="298"/>
      <c r="AK57" s="296"/>
      <c r="AL57" s="293"/>
      <c r="AM57" s="294"/>
      <c r="AN57" s="298"/>
      <c r="AO57" s="296"/>
      <c r="AP57" s="293"/>
      <c r="AQ57" s="294"/>
      <c r="AR57" s="298"/>
      <c r="AS57" s="296"/>
      <c r="AT57" s="132">
        <f t="shared" si="1"/>
        <v>1090600</v>
      </c>
      <c r="AU57" s="299">
        <f t="shared" si="2"/>
        <v>1090600</v>
      </c>
    </row>
    <row r="58" spans="2:163" s="130" customFormat="1" ht="22.5" x14ac:dyDescent="0.25">
      <c r="B58" s="131">
        <v>43</v>
      </c>
      <c r="C58" s="131" t="s">
        <v>39</v>
      </c>
      <c r="D58" s="288">
        <v>30074129</v>
      </c>
      <c r="E58" s="289" t="s">
        <v>502</v>
      </c>
      <c r="F58" s="289" t="s">
        <v>147</v>
      </c>
      <c r="G58" s="290" t="s">
        <v>452</v>
      </c>
      <c r="H58" s="301" t="s">
        <v>470</v>
      </c>
      <c r="I58" s="291" t="s">
        <v>57</v>
      </c>
      <c r="J58" s="291">
        <v>7246439</v>
      </c>
      <c r="K58" s="292">
        <v>6442</v>
      </c>
      <c r="L58" s="292">
        <v>1905570</v>
      </c>
      <c r="M58" s="292">
        <v>0</v>
      </c>
      <c r="N58" s="292">
        <v>0</v>
      </c>
      <c r="O58" s="292">
        <v>0</v>
      </c>
      <c r="P58" s="292">
        <v>0</v>
      </c>
      <c r="Q58" s="292">
        <v>0</v>
      </c>
      <c r="R58" s="292">
        <v>0</v>
      </c>
      <c r="S58" s="292">
        <v>0</v>
      </c>
      <c r="T58" s="292">
        <v>0</v>
      </c>
      <c r="U58" s="292">
        <v>0</v>
      </c>
      <c r="V58" s="292">
        <v>0</v>
      </c>
      <c r="W58" s="292">
        <v>0</v>
      </c>
      <c r="X58" s="292">
        <v>0</v>
      </c>
      <c r="Y58" s="292">
        <f t="shared" si="0"/>
        <v>0</v>
      </c>
      <c r="Z58" s="293">
        <v>1418325</v>
      </c>
      <c r="AA58" s="294">
        <v>6</v>
      </c>
      <c r="AB58" s="295">
        <v>44249</v>
      </c>
      <c r="AC58" s="296">
        <v>44221</v>
      </c>
      <c r="AD58" s="293"/>
      <c r="AE58" s="297"/>
      <c r="AF58" s="298"/>
      <c r="AG58" s="296"/>
      <c r="AH58" s="293"/>
      <c r="AI58" s="294"/>
      <c r="AJ58" s="298"/>
      <c r="AK58" s="296"/>
      <c r="AL58" s="293"/>
      <c r="AM58" s="294"/>
      <c r="AN58" s="298"/>
      <c r="AO58" s="296"/>
      <c r="AP58" s="293"/>
      <c r="AQ58" s="294"/>
      <c r="AR58" s="298"/>
      <c r="AS58" s="296"/>
      <c r="AT58" s="132">
        <f t="shared" si="1"/>
        <v>1418325</v>
      </c>
      <c r="AU58" s="299">
        <f t="shared" si="2"/>
        <v>1418325</v>
      </c>
    </row>
    <row r="59" spans="2:163" s="130" customFormat="1" x14ac:dyDescent="0.25">
      <c r="B59" s="131">
        <v>44</v>
      </c>
      <c r="C59" s="131" t="s">
        <v>39</v>
      </c>
      <c r="D59" s="288">
        <v>30137533</v>
      </c>
      <c r="E59" s="289" t="s">
        <v>503</v>
      </c>
      <c r="F59" s="289" t="s">
        <v>147</v>
      </c>
      <c r="G59" s="290" t="s">
        <v>452</v>
      </c>
      <c r="H59" s="301" t="s">
        <v>472</v>
      </c>
      <c r="I59" s="291" t="s">
        <v>57</v>
      </c>
      <c r="J59" s="291">
        <v>1550317</v>
      </c>
      <c r="K59" s="292">
        <v>9250</v>
      </c>
      <c r="L59" s="292">
        <v>1541066</v>
      </c>
      <c r="M59" s="292">
        <v>0</v>
      </c>
      <c r="N59" s="292">
        <v>0</v>
      </c>
      <c r="O59" s="292">
        <v>0</v>
      </c>
      <c r="P59" s="292">
        <v>0</v>
      </c>
      <c r="Q59" s="292">
        <v>0</v>
      </c>
      <c r="R59" s="292">
        <v>0</v>
      </c>
      <c r="S59" s="292">
        <v>0</v>
      </c>
      <c r="T59" s="292">
        <v>0</v>
      </c>
      <c r="U59" s="292">
        <v>0</v>
      </c>
      <c r="V59" s="292">
        <v>0</v>
      </c>
      <c r="W59" s="292">
        <v>0</v>
      </c>
      <c r="X59" s="292">
        <v>0</v>
      </c>
      <c r="Y59" s="292">
        <f t="shared" si="0"/>
        <v>0</v>
      </c>
      <c r="Z59" s="293">
        <v>1</v>
      </c>
      <c r="AA59" s="294">
        <v>6</v>
      </c>
      <c r="AB59" s="295">
        <v>44249</v>
      </c>
      <c r="AC59" s="296">
        <v>44272</v>
      </c>
      <c r="AD59" s="293"/>
      <c r="AE59" s="297"/>
      <c r="AF59" s="298"/>
      <c r="AG59" s="296"/>
      <c r="AH59" s="293"/>
      <c r="AI59" s="294"/>
      <c r="AJ59" s="298"/>
      <c r="AK59" s="296"/>
      <c r="AL59" s="293"/>
      <c r="AM59" s="294"/>
      <c r="AN59" s="298"/>
      <c r="AO59" s="296"/>
      <c r="AP59" s="293"/>
      <c r="AQ59" s="294"/>
      <c r="AR59" s="298"/>
      <c r="AS59" s="296"/>
      <c r="AT59" s="132">
        <f t="shared" si="1"/>
        <v>1</v>
      </c>
      <c r="AU59" s="299">
        <f t="shared" si="2"/>
        <v>1</v>
      </c>
    </row>
    <row r="60" spans="2:163" s="130" customFormat="1" ht="22.5" x14ac:dyDescent="0.25">
      <c r="B60" s="131">
        <v>45</v>
      </c>
      <c r="C60" s="131" t="s">
        <v>39</v>
      </c>
      <c r="D60" s="288">
        <v>30394275</v>
      </c>
      <c r="E60" s="289" t="s">
        <v>504</v>
      </c>
      <c r="F60" s="289" t="s">
        <v>147</v>
      </c>
      <c r="G60" s="290" t="s">
        <v>452</v>
      </c>
      <c r="H60" s="301" t="s">
        <v>470</v>
      </c>
      <c r="I60" s="291" t="s">
        <v>57</v>
      </c>
      <c r="J60" s="291">
        <v>2429167</v>
      </c>
      <c r="K60" s="292">
        <v>0</v>
      </c>
      <c r="L60" s="292">
        <v>503070</v>
      </c>
      <c r="M60" s="292">
        <v>0</v>
      </c>
      <c r="N60" s="292">
        <v>0</v>
      </c>
      <c r="O60" s="292">
        <v>107818</v>
      </c>
      <c r="P60" s="292">
        <v>0</v>
      </c>
      <c r="Q60" s="292">
        <v>0</v>
      </c>
      <c r="R60" s="292">
        <v>0</v>
      </c>
      <c r="S60" s="292">
        <v>0</v>
      </c>
      <c r="T60" s="292">
        <v>0</v>
      </c>
      <c r="U60" s="292">
        <v>0</v>
      </c>
      <c r="V60" s="292">
        <v>0</v>
      </c>
      <c r="W60" s="292">
        <v>0</v>
      </c>
      <c r="X60" s="292">
        <v>0</v>
      </c>
      <c r="Y60" s="292">
        <f t="shared" si="0"/>
        <v>107818</v>
      </c>
      <c r="Z60" s="293">
        <v>1173195</v>
      </c>
      <c r="AA60" s="294">
        <v>6</v>
      </c>
      <c r="AB60" s="295">
        <v>44249</v>
      </c>
      <c r="AC60" s="296">
        <v>44272</v>
      </c>
      <c r="AD60" s="293"/>
      <c r="AE60" s="297"/>
      <c r="AF60" s="298"/>
      <c r="AG60" s="296"/>
      <c r="AH60" s="293"/>
      <c r="AI60" s="294"/>
      <c r="AJ60" s="298"/>
      <c r="AK60" s="296"/>
      <c r="AL60" s="293"/>
      <c r="AM60" s="294"/>
      <c r="AN60" s="298"/>
      <c r="AO60" s="296"/>
      <c r="AP60" s="293"/>
      <c r="AQ60" s="294"/>
      <c r="AR60" s="298"/>
      <c r="AS60" s="296"/>
      <c r="AT60" s="132">
        <f t="shared" si="1"/>
        <v>1173195</v>
      </c>
      <c r="AU60" s="299">
        <f t="shared" si="2"/>
        <v>1065377</v>
      </c>
    </row>
    <row r="61" spans="2:163" s="130" customFormat="1" ht="22.5" x14ac:dyDescent="0.25">
      <c r="B61" s="131">
        <v>46</v>
      </c>
      <c r="C61" s="131" t="s">
        <v>39</v>
      </c>
      <c r="D61" s="288">
        <v>30457676</v>
      </c>
      <c r="E61" s="289" t="s">
        <v>505</v>
      </c>
      <c r="F61" s="289" t="s">
        <v>147</v>
      </c>
      <c r="G61" s="290" t="s">
        <v>452</v>
      </c>
      <c r="H61" s="301" t="s">
        <v>453</v>
      </c>
      <c r="I61" s="291" t="s">
        <v>57</v>
      </c>
      <c r="J61" s="291">
        <v>6733583</v>
      </c>
      <c r="K61" s="292">
        <v>10123</v>
      </c>
      <c r="L61" s="292">
        <v>2211503</v>
      </c>
      <c r="M61" s="292">
        <v>0</v>
      </c>
      <c r="N61" s="292">
        <v>0</v>
      </c>
      <c r="O61" s="292">
        <v>0</v>
      </c>
      <c r="P61" s="292">
        <v>0</v>
      </c>
      <c r="Q61" s="292">
        <v>0</v>
      </c>
      <c r="R61" s="292">
        <v>0</v>
      </c>
      <c r="S61" s="292">
        <v>0</v>
      </c>
      <c r="T61" s="292">
        <v>0</v>
      </c>
      <c r="U61" s="292">
        <v>0</v>
      </c>
      <c r="V61" s="292">
        <v>0</v>
      </c>
      <c r="W61" s="292">
        <v>0</v>
      </c>
      <c r="X61" s="292">
        <v>0</v>
      </c>
      <c r="Y61" s="292">
        <f t="shared" si="0"/>
        <v>0</v>
      </c>
      <c r="Z61" s="293">
        <v>1223341</v>
      </c>
      <c r="AA61" s="294">
        <v>6</v>
      </c>
      <c r="AB61" s="295">
        <v>44249</v>
      </c>
      <c r="AC61" s="296">
        <v>44272</v>
      </c>
      <c r="AD61" s="293"/>
      <c r="AE61" s="297"/>
      <c r="AF61" s="298"/>
      <c r="AG61" s="296"/>
      <c r="AH61" s="293"/>
      <c r="AI61" s="294"/>
      <c r="AJ61" s="298"/>
      <c r="AK61" s="296"/>
      <c r="AL61" s="293"/>
      <c r="AM61" s="294"/>
      <c r="AN61" s="298"/>
      <c r="AO61" s="296"/>
      <c r="AP61" s="293"/>
      <c r="AQ61" s="294"/>
      <c r="AR61" s="298"/>
      <c r="AS61" s="296"/>
      <c r="AT61" s="132">
        <f t="shared" si="1"/>
        <v>1223341</v>
      </c>
      <c r="AU61" s="299">
        <f t="shared" si="2"/>
        <v>1223341</v>
      </c>
    </row>
    <row r="62" spans="2:163" s="130" customFormat="1" ht="22.5" x14ac:dyDescent="0.25">
      <c r="B62" s="131">
        <v>47</v>
      </c>
      <c r="C62" s="131" t="s">
        <v>39</v>
      </c>
      <c r="D62" s="288">
        <v>40005850</v>
      </c>
      <c r="E62" s="289" t="s">
        <v>506</v>
      </c>
      <c r="F62" s="289" t="s">
        <v>147</v>
      </c>
      <c r="G62" s="290" t="s">
        <v>452</v>
      </c>
      <c r="H62" s="301" t="s">
        <v>459</v>
      </c>
      <c r="I62" s="291" t="s">
        <v>57</v>
      </c>
      <c r="J62" s="291">
        <v>15559940</v>
      </c>
      <c r="K62" s="292">
        <v>0</v>
      </c>
      <c r="L62" s="292">
        <v>5337877</v>
      </c>
      <c r="M62" s="292">
        <v>0</v>
      </c>
      <c r="N62" s="292">
        <v>0</v>
      </c>
      <c r="O62" s="292">
        <v>0</v>
      </c>
      <c r="P62" s="292">
        <v>0</v>
      </c>
      <c r="Q62" s="292">
        <v>0</v>
      </c>
      <c r="R62" s="292">
        <v>0</v>
      </c>
      <c r="S62" s="292">
        <v>0</v>
      </c>
      <c r="T62" s="292">
        <v>0</v>
      </c>
      <c r="U62" s="292">
        <v>0</v>
      </c>
      <c r="V62" s="292">
        <v>0</v>
      </c>
      <c r="W62" s="292">
        <v>0</v>
      </c>
      <c r="X62" s="292">
        <v>0</v>
      </c>
      <c r="Y62" s="292">
        <f t="shared" si="0"/>
        <v>0</v>
      </c>
      <c r="Z62" s="293">
        <v>547520</v>
      </c>
      <c r="AA62" s="294">
        <v>6</v>
      </c>
      <c r="AB62" s="295">
        <v>44249</v>
      </c>
      <c r="AC62" s="296">
        <v>44272</v>
      </c>
      <c r="AD62" s="293"/>
      <c r="AE62" s="297"/>
      <c r="AF62" s="298"/>
      <c r="AG62" s="296"/>
      <c r="AH62" s="293"/>
      <c r="AI62" s="294"/>
      <c r="AJ62" s="298"/>
      <c r="AK62" s="296"/>
      <c r="AL62" s="293"/>
      <c r="AM62" s="294"/>
      <c r="AN62" s="298"/>
      <c r="AO62" s="296"/>
      <c r="AP62" s="293"/>
      <c r="AQ62" s="294"/>
      <c r="AR62" s="298"/>
      <c r="AS62" s="296"/>
      <c r="AT62" s="132">
        <f t="shared" si="1"/>
        <v>547520</v>
      </c>
      <c r="AU62" s="299">
        <f t="shared" si="2"/>
        <v>547520</v>
      </c>
    </row>
    <row r="63" spans="2:163" s="130" customFormat="1" ht="22.5" x14ac:dyDescent="0.25">
      <c r="B63" s="131">
        <v>48</v>
      </c>
      <c r="C63" s="131" t="s">
        <v>39</v>
      </c>
      <c r="D63" s="288">
        <v>40007595</v>
      </c>
      <c r="E63" s="289" t="s">
        <v>507</v>
      </c>
      <c r="F63" s="289" t="s">
        <v>147</v>
      </c>
      <c r="G63" s="290" t="s">
        <v>452</v>
      </c>
      <c r="H63" s="301" t="s">
        <v>93</v>
      </c>
      <c r="I63" s="291" t="s">
        <v>57</v>
      </c>
      <c r="J63" s="291">
        <v>1631804</v>
      </c>
      <c r="K63" s="292">
        <v>1622804</v>
      </c>
      <c r="L63" s="292">
        <v>0</v>
      </c>
      <c r="M63" s="292">
        <v>0</v>
      </c>
      <c r="N63" s="292"/>
      <c r="O63" s="292"/>
      <c r="P63" s="292">
        <v>0</v>
      </c>
      <c r="Q63" s="292">
        <v>0</v>
      </c>
      <c r="R63" s="292">
        <v>0</v>
      </c>
      <c r="S63" s="292">
        <v>0</v>
      </c>
      <c r="T63" s="292">
        <v>0</v>
      </c>
      <c r="U63" s="292">
        <v>0</v>
      </c>
      <c r="V63" s="292">
        <v>0</v>
      </c>
      <c r="W63" s="292">
        <v>0</v>
      </c>
      <c r="X63" s="292">
        <v>0</v>
      </c>
      <c r="Y63" s="292">
        <f t="shared" si="0"/>
        <v>0</v>
      </c>
      <c r="Z63" s="293">
        <v>9000</v>
      </c>
      <c r="AA63" s="294">
        <v>6</v>
      </c>
      <c r="AB63" s="295">
        <v>44249</v>
      </c>
      <c r="AC63" s="296">
        <v>44272</v>
      </c>
      <c r="AD63" s="293"/>
      <c r="AE63" s="297"/>
      <c r="AF63" s="298"/>
      <c r="AG63" s="296"/>
      <c r="AH63" s="293"/>
      <c r="AI63" s="294"/>
      <c r="AJ63" s="298"/>
      <c r="AK63" s="296"/>
      <c r="AL63" s="293"/>
      <c r="AM63" s="294"/>
      <c r="AN63" s="298"/>
      <c r="AO63" s="296"/>
      <c r="AP63" s="293"/>
      <c r="AQ63" s="294"/>
      <c r="AR63" s="298"/>
      <c r="AS63" s="296"/>
      <c r="AT63" s="132">
        <f t="shared" si="1"/>
        <v>9000</v>
      </c>
      <c r="AU63" s="299">
        <f t="shared" si="2"/>
        <v>9000</v>
      </c>
    </row>
    <row r="64" spans="2:163" s="4" customFormat="1" ht="15" customHeight="1" x14ac:dyDescent="0.25">
      <c r="B64" s="528" t="s">
        <v>40</v>
      </c>
      <c r="C64" s="529"/>
      <c r="D64" s="529"/>
      <c r="E64" s="529"/>
      <c r="F64" s="529"/>
      <c r="G64" s="529"/>
      <c r="H64" s="529"/>
      <c r="I64" s="530"/>
      <c r="J64" s="302"/>
      <c r="K64" s="303">
        <f t="shared" ref="K64:Z64" si="3">SUBTOTAL(9,K16:K63)</f>
        <v>47068756</v>
      </c>
      <c r="L64" s="303">
        <f t="shared" si="3"/>
        <v>44248002</v>
      </c>
      <c r="M64" s="303">
        <f t="shared" si="3"/>
        <v>1966094</v>
      </c>
      <c r="N64" s="303">
        <f t="shared" si="3"/>
        <v>1229720</v>
      </c>
      <c r="O64" s="303">
        <f t="shared" si="3"/>
        <v>1303150</v>
      </c>
      <c r="P64" s="303">
        <f t="shared" si="3"/>
        <v>0</v>
      </c>
      <c r="Q64" s="303">
        <f t="shared" si="3"/>
        <v>0</v>
      </c>
      <c r="R64" s="303">
        <f t="shared" si="3"/>
        <v>0</v>
      </c>
      <c r="S64" s="303">
        <f t="shared" si="3"/>
        <v>0</v>
      </c>
      <c r="T64" s="303">
        <f t="shared" si="3"/>
        <v>0</v>
      </c>
      <c r="U64" s="303">
        <f t="shared" si="3"/>
        <v>0</v>
      </c>
      <c r="V64" s="303">
        <f t="shared" si="3"/>
        <v>0</v>
      </c>
      <c r="W64" s="303">
        <f t="shared" si="3"/>
        <v>0</v>
      </c>
      <c r="X64" s="303">
        <f t="shared" si="3"/>
        <v>0</v>
      </c>
      <c r="Y64" s="303">
        <f t="shared" si="3"/>
        <v>4498964</v>
      </c>
      <c r="Z64" s="303">
        <f t="shared" si="3"/>
        <v>21864105</v>
      </c>
      <c r="AA64" s="303"/>
      <c r="AB64" s="303"/>
      <c r="AC64" s="303"/>
      <c r="AD64" s="303">
        <f t="shared" ref="AD64:AU64" si="4">SUBTOTAL(9,AD16:AD63)</f>
        <v>0</v>
      </c>
      <c r="AE64" s="303">
        <f t="shared" si="4"/>
        <v>0</v>
      </c>
      <c r="AF64" s="303">
        <f t="shared" si="4"/>
        <v>0</v>
      </c>
      <c r="AG64" s="303">
        <f t="shared" si="4"/>
        <v>0</v>
      </c>
      <c r="AH64" s="303">
        <f t="shared" si="4"/>
        <v>0</v>
      </c>
      <c r="AI64" s="303">
        <f t="shared" si="4"/>
        <v>0</v>
      </c>
      <c r="AJ64" s="303">
        <f t="shared" si="4"/>
        <v>0</v>
      </c>
      <c r="AK64" s="303">
        <f t="shared" si="4"/>
        <v>0</v>
      </c>
      <c r="AL64" s="303">
        <f t="shared" si="4"/>
        <v>0</v>
      </c>
      <c r="AM64" s="303">
        <f t="shared" si="4"/>
        <v>0</v>
      </c>
      <c r="AN64" s="303">
        <f t="shared" si="4"/>
        <v>0</v>
      </c>
      <c r="AO64" s="303">
        <f t="shared" si="4"/>
        <v>0</v>
      </c>
      <c r="AP64" s="303">
        <f t="shared" si="4"/>
        <v>0</v>
      </c>
      <c r="AQ64" s="303">
        <f t="shared" si="4"/>
        <v>0</v>
      </c>
      <c r="AR64" s="303">
        <f t="shared" si="4"/>
        <v>0</v>
      </c>
      <c r="AS64" s="303">
        <f t="shared" si="4"/>
        <v>0</v>
      </c>
      <c r="AT64" s="303">
        <f t="shared" si="4"/>
        <v>21864105</v>
      </c>
      <c r="AU64" s="303">
        <f t="shared" si="4"/>
        <v>17365141</v>
      </c>
      <c r="AV64" s="139"/>
      <c r="AW64" s="139"/>
      <c r="AX64" s="139"/>
      <c r="AY64" s="139"/>
      <c r="AZ64" s="139"/>
      <c r="BA64" s="139"/>
      <c r="BB64" s="139"/>
      <c r="BC64" s="139"/>
      <c r="BD64" s="139"/>
      <c r="BE64" s="139"/>
      <c r="BF64" s="139"/>
      <c r="BG64" s="139"/>
      <c r="BH64" s="139"/>
      <c r="BI64" s="139"/>
      <c r="BJ64" s="139"/>
      <c r="BK64" s="139"/>
      <c r="BL64" s="139"/>
      <c r="BM64" s="139"/>
      <c r="BN64" s="139"/>
      <c r="BO64" s="139"/>
      <c r="BP64" s="139"/>
      <c r="BQ64" s="139"/>
      <c r="BR64" s="139"/>
      <c r="BS64" s="139"/>
      <c r="BT64" s="139"/>
      <c r="BU64" s="139"/>
      <c r="BV64" s="139"/>
      <c r="BW64" s="139"/>
      <c r="BX64" s="139"/>
      <c r="BY64" s="139"/>
      <c r="BZ64" s="139"/>
      <c r="CA64" s="139"/>
      <c r="CB64" s="139"/>
      <c r="CC64" s="139"/>
      <c r="CD64" s="139"/>
      <c r="CE64" s="139"/>
      <c r="CF64" s="139"/>
      <c r="CG64" s="139"/>
      <c r="CH64" s="139"/>
      <c r="CI64" s="139"/>
      <c r="CJ64" s="139"/>
      <c r="CK64" s="139"/>
      <c r="CL64" s="139"/>
      <c r="CM64" s="139"/>
      <c r="CN64" s="139"/>
      <c r="CO64" s="139"/>
      <c r="CP64" s="139"/>
      <c r="CQ64" s="139"/>
      <c r="CR64" s="139"/>
      <c r="CS64" s="139"/>
      <c r="CT64" s="139"/>
      <c r="CU64" s="139"/>
      <c r="CV64" s="139"/>
      <c r="CW64" s="139"/>
      <c r="CX64" s="139"/>
      <c r="CY64" s="139"/>
      <c r="CZ64" s="139"/>
      <c r="DA64" s="139"/>
      <c r="DB64" s="139"/>
      <c r="DC64" s="139"/>
      <c r="DD64" s="139"/>
      <c r="DE64" s="139"/>
      <c r="DF64" s="139"/>
      <c r="DG64" s="139"/>
      <c r="DH64" s="139"/>
      <c r="DI64" s="139"/>
      <c r="DJ64" s="139"/>
      <c r="DK64" s="139"/>
      <c r="DL64" s="139"/>
      <c r="DM64" s="139"/>
      <c r="DN64" s="139"/>
      <c r="DO64" s="139"/>
      <c r="DP64" s="139"/>
      <c r="DQ64" s="139"/>
      <c r="DR64" s="139"/>
      <c r="DS64" s="139"/>
      <c r="DT64" s="139"/>
      <c r="DU64" s="139"/>
      <c r="DV64" s="139"/>
      <c r="DW64" s="139"/>
      <c r="DX64" s="139"/>
      <c r="DY64" s="139"/>
      <c r="DZ64" s="139"/>
      <c r="EA64" s="139"/>
      <c r="EB64" s="139"/>
      <c r="EC64" s="139"/>
      <c r="ED64" s="139"/>
      <c r="EE64" s="139"/>
      <c r="EF64" s="139"/>
      <c r="EG64" s="139"/>
      <c r="EH64" s="139"/>
      <c r="EI64" s="139"/>
      <c r="EJ64" s="139"/>
      <c r="EK64" s="139"/>
      <c r="EL64" s="139"/>
      <c r="EM64" s="139"/>
      <c r="EN64" s="139"/>
      <c r="EO64" s="139"/>
      <c r="EP64" s="139"/>
      <c r="EQ64" s="139"/>
      <c r="ER64" s="139"/>
      <c r="ES64" s="139"/>
      <c r="ET64" s="139"/>
      <c r="EU64" s="139"/>
      <c r="EV64" s="139"/>
      <c r="EW64" s="139"/>
      <c r="EX64" s="139"/>
      <c r="EY64" s="139"/>
      <c r="EZ64" s="139"/>
      <c r="FA64" s="139"/>
      <c r="FB64" s="139"/>
      <c r="FC64" s="139"/>
      <c r="FD64" s="139"/>
      <c r="FE64" s="139"/>
      <c r="FF64" s="139"/>
      <c r="FG64" s="139"/>
    </row>
    <row r="65" spans="2:46" ht="20.25" customHeight="1" x14ac:dyDescent="0.2">
      <c r="B65" s="133"/>
      <c r="C65" s="133"/>
      <c r="D65" s="133"/>
      <c r="E65" s="133"/>
      <c r="F65" s="134"/>
      <c r="G65" s="127"/>
      <c r="H65" s="127"/>
    </row>
    <row r="66" spans="2:46" x14ac:dyDescent="0.2">
      <c r="B66" s="135"/>
      <c r="C66" s="135"/>
      <c r="D66" s="135"/>
      <c r="E66" s="135"/>
      <c r="F66" s="135"/>
      <c r="G66" s="135"/>
      <c r="H66" s="135"/>
      <c r="I66" s="135"/>
      <c r="J66" s="135"/>
      <c r="K66" s="135"/>
      <c r="L66" s="135"/>
      <c r="M66" s="135"/>
      <c r="N66" s="135"/>
      <c r="O66" s="135"/>
      <c r="P66" s="135"/>
      <c r="Q66" s="135"/>
      <c r="R66" s="135"/>
      <c r="S66" s="135"/>
      <c r="T66" s="135"/>
      <c r="U66" s="135"/>
      <c r="V66" s="135"/>
      <c r="W66" s="135"/>
      <c r="X66" s="135"/>
      <c r="Y66" s="135"/>
      <c r="Z66" s="135"/>
      <c r="AA66" s="135"/>
      <c r="AB66" s="135"/>
      <c r="AC66" s="135"/>
      <c r="AD66" s="136"/>
      <c r="AE66" s="137"/>
      <c r="AF66" s="136"/>
      <c r="AG66" s="136"/>
      <c r="AH66" s="136"/>
      <c r="AI66" s="138"/>
      <c r="AJ66" s="136"/>
      <c r="AK66" s="136"/>
      <c r="AL66" s="136"/>
      <c r="AM66" s="138"/>
      <c r="AN66" s="136"/>
      <c r="AO66" s="136"/>
      <c r="AP66" s="136"/>
      <c r="AQ66" s="138"/>
      <c r="AR66" s="136"/>
      <c r="AS66" s="136"/>
      <c r="AT66" s="121"/>
    </row>
    <row r="67" spans="2:46" x14ac:dyDescent="0.2">
      <c r="AT67" s="121"/>
    </row>
  </sheetData>
  <mergeCells count="8">
    <mergeCell ref="AP14:AS14"/>
    <mergeCell ref="AT14:AU14"/>
    <mergeCell ref="B9:AC10"/>
    <mergeCell ref="B64:I64"/>
    <mergeCell ref="Z14:AC14"/>
    <mergeCell ref="AD14:AG14"/>
    <mergeCell ref="AH14:AK14"/>
    <mergeCell ref="AL14:AO14"/>
  </mergeCells>
  <conditionalFormatting sqref="D16:D63">
    <cfRule type="duplicateValues" dxfId="57" priority="1"/>
  </conditionalFormatting>
  <pageMargins left="0.7" right="0.7" top="0.75" bottom="0.75" header="0.3" footer="0.3"/>
  <pageSetup scale="3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103"/>
  <sheetViews>
    <sheetView showGridLines="0" topLeftCell="A9" zoomScaleNormal="100" workbookViewId="0">
      <pane ySplit="7" topLeftCell="A82" activePane="bottomLeft" state="frozen"/>
      <selection activeCell="A9" sqref="A9"/>
      <selection pane="bottomLeft" activeCell="B96" sqref="B96:AC96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10" width="9.7109375" style="4" customWidth="1"/>
    <col min="11" max="25" width="12" style="4" customWidth="1"/>
    <col min="26" max="26" width="11.28515625" style="4" bestFit="1" customWidth="1"/>
    <col min="27" max="27" width="10.140625" style="9" customWidth="1"/>
    <col min="28" max="29" width="10.140625" style="4" customWidth="1"/>
    <col min="30" max="30" width="13.5703125" style="83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94"/>
      <c r="AE1" s="2"/>
      <c r="AF1" s="73"/>
      <c r="AG1" s="73"/>
      <c r="AH1" s="73"/>
      <c r="AI1" s="3"/>
      <c r="AJ1" s="73"/>
      <c r="AK1" s="73"/>
      <c r="AL1" s="73"/>
      <c r="AM1" s="3"/>
      <c r="AN1" s="73"/>
      <c r="AO1" s="73"/>
      <c r="AP1" s="73"/>
      <c r="AQ1" s="3"/>
      <c r="AR1" s="73"/>
      <c r="AS1" s="73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94"/>
      <c r="AE2" s="2"/>
      <c r="AF2" s="73"/>
      <c r="AG2" s="73"/>
      <c r="AH2" s="73"/>
      <c r="AI2" s="3"/>
      <c r="AJ2" s="73"/>
      <c r="AK2" s="73"/>
      <c r="AL2" s="73"/>
      <c r="AM2" s="3"/>
      <c r="AN2" s="73"/>
      <c r="AO2" s="73"/>
      <c r="AP2" s="73"/>
      <c r="AQ2" s="3"/>
      <c r="AR2" s="73"/>
      <c r="AS2" s="73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82"/>
      <c r="AE3" s="6"/>
      <c r="AF3" s="72"/>
      <c r="AG3" s="72"/>
      <c r="AH3" s="72"/>
      <c r="AI3" s="7"/>
      <c r="AJ3" s="72"/>
      <c r="AK3" s="72"/>
      <c r="AL3" s="72"/>
      <c r="AM3" s="7"/>
      <c r="AN3" s="72"/>
      <c r="AO3" s="72"/>
      <c r="AP3" s="72"/>
      <c r="AQ3" s="7"/>
      <c r="AR3" s="72"/>
      <c r="AS3" s="72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82"/>
      <c r="AE4" s="6"/>
      <c r="AF4" s="72"/>
      <c r="AG4" s="72"/>
      <c r="AH4" s="72"/>
      <c r="AI4" s="7"/>
      <c r="AJ4" s="72"/>
      <c r="AK4" s="72"/>
      <c r="AL4" s="72"/>
      <c r="AM4" s="7"/>
      <c r="AN4" s="72"/>
      <c r="AO4" s="72"/>
      <c r="AP4" s="72"/>
      <c r="AQ4" s="7"/>
      <c r="AR4" s="72"/>
      <c r="AS4" s="72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82"/>
      <c r="AE5" s="6"/>
      <c r="AF5" s="72"/>
      <c r="AG5" s="72"/>
      <c r="AH5" s="72"/>
      <c r="AI5" s="7"/>
      <c r="AJ5" s="72"/>
      <c r="AK5" s="72"/>
      <c r="AL5" s="72"/>
      <c r="AM5" s="7"/>
      <c r="AN5" s="72"/>
      <c r="AO5" s="72"/>
      <c r="AP5" s="72"/>
      <c r="AQ5" s="7"/>
      <c r="AR5" s="72"/>
      <c r="AS5" s="72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82"/>
      <c r="AE6" s="6"/>
      <c r="AF6" s="72"/>
      <c r="AG6" s="72"/>
      <c r="AH6" s="72"/>
      <c r="AI6" s="7"/>
      <c r="AJ6" s="72"/>
      <c r="AK6" s="72"/>
      <c r="AL6" s="72"/>
      <c r="AM6" s="7"/>
      <c r="AN6" s="72"/>
      <c r="AO6" s="72"/>
      <c r="AP6" s="72"/>
      <c r="AQ6" s="7"/>
      <c r="AR6" s="72"/>
      <c r="AS6" s="72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82"/>
      <c r="AE7" s="6"/>
      <c r="AF7" s="72"/>
      <c r="AG7" s="72"/>
      <c r="AH7" s="72"/>
      <c r="AI7" s="7"/>
      <c r="AJ7" s="72"/>
      <c r="AK7" s="72"/>
      <c r="AL7" s="72"/>
      <c r="AM7" s="7"/>
      <c r="AN7" s="72"/>
      <c r="AO7" s="72"/>
      <c r="AP7" s="72"/>
      <c r="AQ7" s="7"/>
      <c r="AR7" s="72"/>
      <c r="AS7" s="72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82"/>
      <c r="AE8" s="6"/>
      <c r="AF8" s="72"/>
      <c r="AG8" s="72"/>
      <c r="AH8" s="72"/>
      <c r="AI8" s="7"/>
      <c r="AJ8" s="72"/>
      <c r="AK8" s="72"/>
      <c r="AL8" s="72"/>
      <c r="AM8" s="7"/>
      <c r="AN8" s="72"/>
      <c r="AO8" s="72"/>
      <c r="AP8" s="72"/>
      <c r="AQ8" s="7"/>
      <c r="AR8" s="72"/>
      <c r="AS8" s="72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82"/>
      <c r="AE9" s="6"/>
      <c r="AF9" s="72"/>
      <c r="AG9" s="72"/>
      <c r="AH9" s="72"/>
      <c r="AI9" s="7"/>
      <c r="AJ9" s="72"/>
      <c r="AK9" s="72"/>
      <c r="AL9" s="72"/>
      <c r="AM9" s="7"/>
      <c r="AN9" s="72"/>
      <c r="AO9" s="72"/>
      <c r="AP9" s="72"/>
      <c r="AQ9" s="7"/>
      <c r="AR9" s="72"/>
      <c r="AS9" s="72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</row>
    <row r="13" spans="2:47" ht="18.75" x14ac:dyDescent="0.2">
      <c r="B13" s="15">
        <v>49594122</v>
      </c>
      <c r="C13" s="15">
        <v>49155407</v>
      </c>
      <c r="D13" s="15">
        <v>49155407</v>
      </c>
      <c r="E13" s="15">
        <f>+Y94</f>
        <v>5907501</v>
      </c>
      <c r="F13" s="84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</row>
    <row r="14" spans="2:47" ht="15" customHeight="1" x14ac:dyDescent="0.2">
      <c r="C14" s="17"/>
      <c r="D14" s="18"/>
      <c r="E14" s="17"/>
      <c r="F14" s="17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87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</row>
    <row r="16" spans="2:47" s="26" customFormat="1" ht="22.5" x14ac:dyDescent="0.25">
      <c r="B16" s="27">
        <v>2</v>
      </c>
      <c r="C16" s="27" t="s">
        <v>39</v>
      </c>
      <c r="D16" s="28">
        <v>30091568</v>
      </c>
      <c r="E16" s="29" t="s">
        <v>53</v>
      </c>
      <c r="F16" s="29" t="s">
        <v>54</v>
      </c>
      <c r="G16" s="30" t="s">
        <v>55</v>
      </c>
      <c r="H16" s="30" t="s">
        <v>56</v>
      </c>
      <c r="I16" s="88" t="s">
        <v>57</v>
      </c>
      <c r="J16" s="31">
        <v>20443271</v>
      </c>
      <c r="K16" s="31">
        <v>20436195</v>
      </c>
      <c r="L16" s="31">
        <v>0</v>
      </c>
      <c r="M16" s="31">
        <v>0</v>
      </c>
      <c r="N16" s="31">
        <v>7074</v>
      </c>
      <c r="O16" s="31">
        <v>54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 t="shared" ref="Y16:Y79" si="0">SUM(M16:X16)</f>
        <v>7128</v>
      </c>
      <c r="Z16" s="32">
        <v>7075</v>
      </c>
      <c r="AA16" s="33">
        <v>5</v>
      </c>
      <c r="AB16" s="34">
        <v>44216</v>
      </c>
      <c r="AC16" s="89">
        <v>44225</v>
      </c>
      <c r="AD16" s="32">
        <v>54</v>
      </c>
      <c r="AE16" s="35">
        <v>16</v>
      </c>
      <c r="AF16" s="41">
        <v>44253</v>
      </c>
      <c r="AG16" s="89">
        <v>44274</v>
      </c>
      <c r="AH16" s="32"/>
      <c r="AI16" s="33"/>
      <c r="AJ16" s="36"/>
      <c r="AK16" s="89"/>
      <c r="AL16" s="32"/>
      <c r="AM16" s="33"/>
      <c r="AN16" s="36"/>
      <c r="AO16" s="89"/>
      <c r="AP16" s="32"/>
      <c r="AQ16" s="33"/>
      <c r="AR16" s="36"/>
      <c r="AS16" s="89"/>
      <c r="AT16" s="37">
        <f t="shared" ref="AT16:AT41" si="1">+Z16+AD16+AH16+AL16+AP16</f>
        <v>7129</v>
      </c>
      <c r="AU16" s="38">
        <f t="shared" ref="AU16:AU41" si="2">+AT16-Y16</f>
        <v>1</v>
      </c>
    </row>
    <row r="17" spans="2:47" s="26" customFormat="1" x14ac:dyDescent="0.25">
      <c r="B17" s="27">
        <v>3</v>
      </c>
      <c r="C17" s="27" t="s">
        <v>39</v>
      </c>
      <c r="D17" s="28">
        <v>30086265</v>
      </c>
      <c r="E17" s="29" t="s">
        <v>58</v>
      </c>
      <c r="F17" s="29" t="s">
        <v>54</v>
      </c>
      <c r="G17" s="30" t="s">
        <v>55</v>
      </c>
      <c r="H17" s="30" t="s">
        <v>56</v>
      </c>
      <c r="I17" s="88" t="s">
        <v>57</v>
      </c>
      <c r="J17" s="31">
        <v>5794047</v>
      </c>
      <c r="K17" s="31">
        <v>5651699</v>
      </c>
      <c r="L17" s="31">
        <v>0</v>
      </c>
      <c r="M17" s="31">
        <v>0</v>
      </c>
      <c r="N17" s="31">
        <v>0</v>
      </c>
      <c r="O17" s="31">
        <v>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si="0"/>
        <v>0</v>
      </c>
      <c r="Z17" s="32">
        <v>134213</v>
      </c>
      <c r="AA17" s="39">
        <v>5</v>
      </c>
      <c r="AB17" s="34">
        <v>44216</v>
      </c>
      <c r="AC17" s="89">
        <v>44225</v>
      </c>
      <c r="AD17" s="32">
        <v>0</v>
      </c>
      <c r="AE17" s="40">
        <v>17</v>
      </c>
      <c r="AF17" s="34">
        <v>44223</v>
      </c>
      <c r="AG17" s="90">
        <v>44272</v>
      </c>
      <c r="AH17" s="91"/>
      <c r="AI17" s="39"/>
      <c r="AJ17" s="34"/>
      <c r="AK17" s="90"/>
      <c r="AL17" s="91"/>
      <c r="AM17" s="39"/>
      <c r="AN17" s="34"/>
      <c r="AO17" s="89"/>
      <c r="AP17" s="91"/>
      <c r="AQ17" s="33"/>
      <c r="AR17" s="41"/>
      <c r="AS17" s="89"/>
      <c r="AT17" s="37">
        <f t="shared" si="1"/>
        <v>134213</v>
      </c>
      <c r="AU17" s="38">
        <f t="shared" si="2"/>
        <v>134213</v>
      </c>
    </row>
    <row r="18" spans="2:47" s="26" customFormat="1" x14ac:dyDescent="0.25">
      <c r="B18" s="27">
        <v>4</v>
      </c>
      <c r="C18" s="27" t="s">
        <v>39</v>
      </c>
      <c r="D18" s="28">
        <v>30072454</v>
      </c>
      <c r="E18" s="29" t="s">
        <v>59</v>
      </c>
      <c r="F18" s="29" t="s">
        <v>60</v>
      </c>
      <c r="G18" s="30" t="s">
        <v>55</v>
      </c>
      <c r="H18" s="30" t="s">
        <v>56</v>
      </c>
      <c r="I18" s="88" t="s">
        <v>57</v>
      </c>
      <c r="J18" s="31">
        <v>135074</v>
      </c>
      <c r="K18" s="31">
        <v>56940</v>
      </c>
      <c r="L18" s="31">
        <v>0</v>
      </c>
      <c r="M18" s="31">
        <v>0</v>
      </c>
      <c r="N18" s="31">
        <v>0</v>
      </c>
      <c r="O18" s="31">
        <v>0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0"/>
        <v>0</v>
      </c>
      <c r="Z18" s="32">
        <v>78134</v>
      </c>
      <c r="AA18" s="39">
        <v>5</v>
      </c>
      <c r="AB18" s="34">
        <v>44216</v>
      </c>
      <c r="AC18" s="89">
        <v>44225</v>
      </c>
      <c r="AD18" s="32">
        <v>0</v>
      </c>
      <c r="AE18" s="40">
        <v>17</v>
      </c>
      <c r="AF18" s="34">
        <v>44223</v>
      </c>
      <c r="AG18" s="90">
        <v>44272</v>
      </c>
      <c r="AH18" s="92"/>
      <c r="AI18" s="39"/>
      <c r="AJ18" s="34"/>
      <c r="AK18" s="90"/>
      <c r="AL18" s="92"/>
      <c r="AM18" s="39"/>
      <c r="AN18" s="34"/>
      <c r="AO18" s="89"/>
      <c r="AP18" s="92"/>
      <c r="AQ18" s="33"/>
      <c r="AR18" s="41"/>
      <c r="AS18" s="89"/>
      <c r="AT18" s="37">
        <f t="shared" si="1"/>
        <v>78134</v>
      </c>
      <c r="AU18" s="38">
        <f t="shared" si="2"/>
        <v>78134</v>
      </c>
    </row>
    <row r="19" spans="2:47" s="26" customFormat="1" ht="22.5" x14ac:dyDescent="0.25">
      <c r="B19" s="27">
        <v>5</v>
      </c>
      <c r="C19" s="27" t="s">
        <v>39</v>
      </c>
      <c r="D19" s="28">
        <v>30128427</v>
      </c>
      <c r="E19" s="29" t="s">
        <v>61</v>
      </c>
      <c r="F19" s="29" t="s">
        <v>54</v>
      </c>
      <c r="G19" s="30" t="s">
        <v>55</v>
      </c>
      <c r="H19" s="30" t="s">
        <v>62</v>
      </c>
      <c r="I19" s="88" t="s">
        <v>57</v>
      </c>
      <c r="J19" s="31">
        <v>294655</v>
      </c>
      <c r="K19" s="31">
        <v>190038</v>
      </c>
      <c r="L19" s="31">
        <v>0</v>
      </c>
      <c r="M19" s="31">
        <v>0</v>
      </c>
      <c r="N19" s="31">
        <v>0</v>
      </c>
      <c r="O19" s="31">
        <v>0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0"/>
        <v>0</v>
      </c>
      <c r="Z19" s="32">
        <v>62457</v>
      </c>
      <c r="AA19" s="39">
        <v>5</v>
      </c>
      <c r="AB19" s="34">
        <v>44216</v>
      </c>
      <c r="AC19" s="89">
        <v>44225</v>
      </c>
      <c r="AD19" s="32">
        <v>2835</v>
      </c>
      <c r="AE19" s="40">
        <v>16</v>
      </c>
      <c r="AF19" s="41">
        <v>44253</v>
      </c>
      <c r="AG19" s="89">
        <v>44274</v>
      </c>
      <c r="AH19" s="92"/>
      <c r="AI19" s="39"/>
      <c r="AJ19" s="34"/>
      <c r="AK19" s="90"/>
      <c r="AL19" s="92"/>
      <c r="AM19" s="39"/>
      <c r="AN19" s="34"/>
      <c r="AO19" s="89"/>
      <c r="AP19" s="92"/>
      <c r="AQ19" s="33"/>
      <c r="AR19" s="41"/>
      <c r="AS19" s="89"/>
      <c r="AT19" s="37">
        <f t="shared" si="1"/>
        <v>65292</v>
      </c>
      <c r="AU19" s="38">
        <f t="shared" si="2"/>
        <v>65292</v>
      </c>
    </row>
    <row r="20" spans="2:47" s="26" customFormat="1" x14ac:dyDescent="0.25">
      <c r="B20" s="27">
        <v>6</v>
      </c>
      <c r="C20" s="27" t="s">
        <v>39</v>
      </c>
      <c r="D20" s="28">
        <v>30081265</v>
      </c>
      <c r="E20" s="29" t="s">
        <v>63</v>
      </c>
      <c r="F20" s="29" t="s">
        <v>60</v>
      </c>
      <c r="G20" s="30" t="s">
        <v>55</v>
      </c>
      <c r="H20" s="30" t="s">
        <v>64</v>
      </c>
      <c r="I20" s="88" t="s">
        <v>57</v>
      </c>
      <c r="J20" s="31">
        <v>37509</v>
      </c>
      <c r="K20" s="31">
        <v>27194</v>
      </c>
      <c r="L20" s="31">
        <v>0</v>
      </c>
      <c r="M20" s="31">
        <v>0</v>
      </c>
      <c r="N20" s="31">
        <v>0</v>
      </c>
      <c r="O20" s="31">
        <v>0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0"/>
        <v>0</v>
      </c>
      <c r="Z20" s="32">
        <v>10315</v>
      </c>
      <c r="AA20" s="33">
        <v>5</v>
      </c>
      <c r="AB20" s="34">
        <v>44216</v>
      </c>
      <c r="AC20" s="89">
        <v>44225</v>
      </c>
      <c r="AD20" s="32">
        <v>0</v>
      </c>
      <c r="AE20" s="35"/>
      <c r="AF20" s="41"/>
      <c r="AG20" s="89"/>
      <c r="AH20" s="92"/>
      <c r="AI20" s="33"/>
      <c r="AJ20" s="41"/>
      <c r="AK20" s="89"/>
      <c r="AL20" s="92"/>
      <c r="AM20" s="33"/>
      <c r="AN20" s="41"/>
      <c r="AO20" s="89"/>
      <c r="AP20" s="92"/>
      <c r="AQ20" s="33"/>
      <c r="AR20" s="41"/>
      <c r="AS20" s="89"/>
      <c r="AT20" s="37">
        <f t="shared" si="1"/>
        <v>10315</v>
      </c>
      <c r="AU20" s="38">
        <f t="shared" si="2"/>
        <v>10315</v>
      </c>
    </row>
    <row r="21" spans="2:47" s="26" customFormat="1" ht="22.5" x14ac:dyDescent="0.25">
      <c r="B21" s="27">
        <v>7</v>
      </c>
      <c r="C21" s="27" t="s">
        <v>39</v>
      </c>
      <c r="D21" s="28">
        <v>30132132</v>
      </c>
      <c r="E21" s="29" t="s">
        <v>65</v>
      </c>
      <c r="F21" s="29" t="s">
        <v>54</v>
      </c>
      <c r="G21" s="30" t="s">
        <v>55</v>
      </c>
      <c r="H21" s="30" t="s">
        <v>66</v>
      </c>
      <c r="I21" s="88" t="s">
        <v>57</v>
      </c>
      <c r="J21" s="31">
        <v>1808060</v>
      </c>
      <c r="K21" s="31">
        <v>12461</v>
      </c>
      <c r="L21" s="31">
        <v>0</v>
      </c>
      <c r="M21" s="31">
        <v>0</v>
      </c>
      <c r="N21" s="31">
        <v>0</v>
      </c>
      <c r="O21" s="31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0"/>
        <v>0</v>
      </c>
      <c r="Z21" s="32">
        <v>500000</v>
      </c>
      <c r="AA21" s="33">
        <v>5</v>
      </c>
      <c r="AB21" s="34">
        <v>44216</v>
      </c>
      <c r="AC21" s="89">
        <v>44225</v>
      </c>
      <c r="AD21" s="32">
        <v>0</v>
      </c>
      <c r="AE21" s="35"/>
      <c r="AF21" s="36"/>
      <c r="AG21" s="89"/>
      <c r="AH21" s="32"/>
      <c r="AI21" s="33"/>
      <c r="AJ21" s="36"/>
      <c r="AK21" s="89"/>
      <c r="AL21" s="32"/>
      <c r="AM21" s="33"/>
      <c r="AN21" s="36"/>
      <c r="AO21" s="89"/>
      <c r="AP21" s="32"/>
      <c r="AQ21" s="33"/>
      <c r="AR21" s="36"/>
      <c r="AS21" s="89"/>
      <c r="AT21" s="37">
        <f t="shared" si="1"/>
        <v>500000</v>
      </c>
      <c r="AU21" s="38">
        <f t="shared" si="2"/>
        <v>500000</v>
      </c>
    </row>
    <row r="22" spans="2:47" s="26" customFormat="1" x14ac:dyDescent="0.25">
      <c r="B22" s="27">
        <v>8</v>
      </c>
      <c r="C22" s="27" t="s">
        <v>39</v>
      </c>
      <c r="D22" s="28">
        <v>30032937</v>
      </c>
      <c r="E22" s="29" t="s">
        <v>67</v>
      </c>
      <c r="F22" s="29" t="s">
        <v>54</v>
      </c>
      <c r="G22" s="30" t="s">
        <v>55</v>
      </c>
      <c r="H22" s="30" t="s">
        <v>68</v>
      </c>
      <c r="I22" s="88" t="s">
        <v>57</v>
      </c>
      <c r="J22" s="31">
        <v>5361863</v>
      </c>
      <c r="K22" s="31">
        <v>4272947</v>
      </c>
      <c r="L22" s="31">
        <v>0</v>
      </c>
      <c r="M22" s="31">
        <v>0</v>
      </c>
      <c r="N22" s="31">
        <v>0</v>
      </c>
      <c r="O22" s="31">
        <v>0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0"/>
        <v>0</v>
      </c>
      <c r="Z22" s="32">
        <v>340000</v>
      </c>
      <c r="AA22" s="33">
        <v>5</v>
      </c>
      <c r="AB22" s="34">
        <v>44216</v>
      </c>
      <c r="AC22" s="89">
        <v>44225</v>
      </c>
      <c r="AD22" s="32">
        <v>0</v>
      </c>
      <c r="AE22" s="35"/>
      <c r="AF22" s="36"/>
      <c r="AG22" s="89"/>
      <c r="AH22" s="32"/>
      <c r="AI22" s="33"/>
      <c r="AJ22" s="36"/>
      <c r="AK22" s="89"/>
      <c r="AL22" s="32"/>
      <c r="AM22" s="33"/>
      <c r="AN22" s="36"/>
      <c r="AO22" s="89"/>
      <c r="AP22" s="32"/>
      <c r="AQ22" s="33"/>
      <c r="AR22" s="36"/>
      <c r="AS22" s="89"/>
      <c r="AT22" s="37">
        <f t="shared" si="1"/>
        <v>340000</v>
      </c>
      <c r="AU22" s="38">
        <f t="shared" si="2"/>
        <v>340000</v>
      </c>
    </row>
    <row r="23" spans="2:47" s="26" customFormat="1" ht="23.25" customHeight="1" x14ac:dyDescent="0.25">
      <c r="B23" s="27">
        <v>9</v>
      </c>
      <c r="C23" s="27" t="s">
        <v>39</v>
      </c>
      <c r="D23" s="28">
        <v>30273179</v>
      </c>
      <c r="E23" s="29" t="s">
        <v>69</v>
      </c>
      <c r="F23" s="29" t="s">
        <v>54</v>
      </c>
      <c r="G23" s="30" t="s">
        <v>55</v>
      </c>
      <c r="H23" s="42" t="s">
        <v>70</v>
      </c>
      <c r="I23" s="88" t="s">
        <v>57</v>
      </c>
      <c r="J23" s="31">
        <v>349797</v>
      </c>
      <c r="K23" s="31">
        <v>281890</v>
      </c>
      <c r="L23" s="31">
        <v>0</v>
      </c>
      <c r="M23" s="31">
        <v>0</v>
      </c>
      <c r="N23" s="31">
        <v>0</v>
      </c>
      <c r="O23" s="31">
        <v>12783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0"/>
        <v>12783</v>
      </c>
      <c r="Z23" s="32">
        <v>55813</v>
      </c>
      <c r="AA23" s="33">
        <v>5</v>
      </c>
      <c r="AB23" s="34">
        <v>44216</v>
      </c>
      <c r="AC23" s="89">
        <v>44225</v>
      </c>
      <c r="AD23" s="32">
        <v>0</v>
      </c>
      <c r="AE23" s="35"/>
      <c r="AF23" s="36"/>
      <c r="AG23" s="89"/>
      <c r="AH23" s="32"/>
      <c r="AI23" s="33"/>
      <c r="AJ23" s="36"/>
      <c r="AK23" s="89"/>
      <c r="AL23" s="32"/>
      <c r="AM23" s="33"/>
      <c r="AN23" s="36"/>
      <c r="AO23" s="89"/>
      <c r="AP23" s="32"/>
      <c r="AQ23" s="33"/>
      <c r="AR23" s="36"/>
      <c r="AS23" s="89"/>
      <c r="AT23" s="37">
        <f t="shared" si="1"/>
        <v>55813</v>
      </c>
      <c r="AU23" s="38">
        <f t="shared" si="2"/>
        <v>43030</v>
      </c>
    </row>
    <row r="24" spans="2:47" s="26" customFormat="1" ht="22.5" x14ac:dyDescent="0.25">
      <c r="B24" s="27">
        <v>10</v>
      </c>
      <c r="C24" s="27" t="s">
        <v>39</v>
      </c>
      <c r="D24" s="28">
        <v>30132000</v>
      </c>
      <c r="E24" s="29" t="s">
        <v>71</v>
      </c>
      <c r="F24" s="29" t="s">
        <v>60</v>
      </c>
      <c r="G24" s="30" t="s">
        <v>55</v>
      </c>
      <c r="H24" s="42" t="s">
        <v>56</v>
      </c>
      <c r="I24" s="88" t="s">
        <v>72</v>
      </c>
      <c r="J24" s="31">
        <v>117498</v>
      </c>
      <c r="K24" s="31">
        <v>0</v>
      </c>
      <c r="L24" s="31">
        <v>67383</v>
      </c>
      <c r="M24" s="31">
        <v>0</v>
      </c>
      <c r="N24" s="31">
        <v>4</v>
      </c>
      <c r="O24" s="31">
        <v>0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0"/>
        <v>4</v>
      </c>
      <c r="Z24" s="32">
        <v>4</v>
      </c>
      <c r="AA24" s="33">
        <v>5</v>
      </c>
      <c r="AB24" s="34">
        <v>44216</v>
      </c>
      <c r="AC24" s="89">
        <v>44225</v>
      </c>
      <c r="AD24" s="32">
        <v>0</v>
      </c>
      <c r="AE24" s="35"/>
      <c r="AF24" s="36"/>
      <c r="AG24" s="89"/>
      <c r="AH24" s="32"/>
      <c r="AI24" s="33"/>
      <c r="AJ24" s="36"/>
      <c r="AK24" s="89"/>
      <c r="AL24" s="32"/>
      <c r="AM24" s="33"/>
      <c r="AN24" s="36"/>
      <c r="AO24" s="89"/>
      <c r="AP24" s="32"/>
      <c r="AQ24" s="33"/>
      <c r="AR24" s="36"/>
      <c r="AS24" s="89"/>
      <c r="AT24" s="37">
        <f t="shared" si="1"/>
        <v>4</v>
      </c>
      <c r="AU24" s="38">
        <f t="shared" si="2"/>
        <v>0</v>
      </c>
    </row>
    <row r="25" spans="2:47" s="26" customFormat="1" ht="22.5" x14ac:dyDescent="0.25">
      <c r="B25" s="27">
        <v>11</v>
      </c>
      <c r="C25" s="27" t="s">
        <v>39</v>
      </c>
      <c r="D25" s="28">
        <v>30082427</v>
      </c>
      <c r="E25" s="29" t="s">
        <v>73</v>
      </c>
      <c r="F25" s="29" t="s">
        <v>54</v>
      </c>
      <c r="G25" s="30" t="s">
        <v>55</v>
      </c>
      <c r="H25" s="42" t="s">
        <v>70</v>
      </c>
      <c r="I25" s="88" t="s">
        <v>57</v>
      </c>
      <c r="J25" s="31">
        <v>3835621</v>
      </c>
      <c r="K25" s="31">
        <v>3813977</v>
      </c>
      <c r="L25" s="31">
        <v>0</v>
      </c>
      <c r="M25" s="31">
        <v>0</v>
      </c>
      <c r="N25" s="31">
        <v>0</v>
      </c>
      <c r="O25" s="31">
        <v>6897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0"/>
        <v>6897</v>
      </c>
      <c r="Z25" s="32">
        <v>21644</v>
      </c>
      <c r="AA25" s="33">
        <v>5</v>
      </c>
      <c r="AB25" s="34">
        <v>44216</v>
      </c>
      <c r="AC25" s="89">
        <v>44225</v>
      </c>
      <c r="AD25" s="32">
        <v>0</v>
      </c>
      <c r="AE25" s="35"/>
      <c r="AF25" s="36"/>
      <c r="AG25" s="89"/>
      <c r="AH25" s="32"/>
      <c r="AI25" s="33"/>
      <c r="AJ25" s="36"/>
      <c r="AK25" s="89"/>
      <c r="AL25" s="32"/>
      <c r="AM25" s="33"/>
      <c r="AN25" s="36"/>
      <c r="AO25" s="89"/>
      <c r="AP25" s="32"/>
      <c r="AQ25" s="33"/>
      <c r="AR25" s="36"/>
      <c r="AS25" s="89"/>
      <c r="AT25" s="37">
        <f t="shared" si="1"/>
        <v>21644</v>
      </c>
      <c r="AU25" s="38">
        <f t="shared" si="2"/>
        <v>14747</v>
      </c>
    </row>
    <row r="26" spans="2:47" s="26" customFormat="1" x14ac:dyDescent="0.25">
      <c r="B26" s="27">
        <v>12</v>
      </c>
      <c r="C26" s="27" t="s">
        <v>39</v>
      </c>
      <c r="D26" s="28">
        <v>30070199</v>
      </c>
      <c r="E26" s="29" t="s">
        <v>74</v>
      </c>
      <c r="F26" s="29" t="s">
        <v>54</v>
      </c>
      <c r="G26" s="30" t="s">
        <v>55</v>
      </c>
      <c r="H26" s="42" t="s">
        <v>68</v>
      </c>
      <c r="I26" s="88" t="s">
        <v>57</v>
      </c>
      <c r="J26" s="31">
        <v>17855566</v>
      </c>
      <c r="K26" s="31">
        <v>4831958</v>
      </c>
      <c r="L26" s="31">
        <v>4951499</v>
      </c>
      <c r="M26" s="31">
        <v>0</v>
      </c>
      <c r="N26" s="31">
        <v>669018</v>
      </c>
      <c r="O26" s="31">
        <v>457702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0"/>
        <v>1126720</v>
      </c>
      <c r="Z26" s="32">
        <v>5000000</v>
      </c>
      <c r="AA26" s="33">
        <v>5</v>
      </c>
      <c r="AB26" s="34">
        <v>44216</v>
      </c>
      <c r="AC26" s="89">
        <v>44225</v>
      </c>
      <c r="AD26" s="32">
        <v>46648</v>
      </c>
      <c r="AE26" s="35">
        <v>16</v>
      </c>
      <c r="AF26" s="41">
        <v>44253</v>
      </c>
      <c r="AG26" s="89">
        <v>44274</v>
      </c>
      <c r="AH26" s="32"/>
      <c r="AI26" s="33"/>
      <c r="AJ26" s="36"/>
      <c r="AK26" s="89"/>
      <c r="AL26" s="32"/>
      <c r="AM26" s="33"/>
      <c r="AN26" s="36"/>
      <c r="AO26" s="89"/>
      <c r="AP26" s="32"/>
      <c r="AQ26" s="33"/>
      <c r="AR26" s="36"/>
      <c r="AS26" s="89"/>
      <c r="AT26" s="37">
        <f t="shared" si="1"/>
        <v>5046648</v>
      </c>
      <c r="AU26" s="38">
        <f t="shared" si="2"/>
        <v>3919928</v>
      </c>
    </row>
    <row r="27" spans="2:47" s="26" customFormat="1" ht="22.5" x14ac:dyDescent="0.25">
      <c r="B27" s="27">
        <v>13</v>
      </c>
      <c r="C27" s="27" t="s">
        <v>39</v>
      </c>
      <c r="D27" s="28">
        <v>30353377</v>
      </c>
      <c r="E27" s="29" t="s">
        <v>75</v>
      </c>
      <c r="F27" s="29" t="s">
        <v>54</v>
      </c>
      <c r="G27" s="30" t="s">
        <v>55</v>
      </c>
      <c r="H27" s="42" t="s">
        <v>76</v>
      </c>
      <c r="I27" s="88" t="s">
        <v>57</v>
      </c>
      <c r="J27" s="31">
        <v>3194105</v>
      </c>
      <c r="K27" s="31">
        <v>2507393</v>
      </c>
      <c r="L27" s="31">
        <v>0</v>
      </c>
      <c r="M27" s="31">
        <v>0</v>
      </c>
      <c r="N27" s="31">
        <v>147836</v>
      </c>
      <c r="O27" s="31">
        <v>0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0"/>
        <v>147836</v>
      </c>
      <c r="Z27" s="32">
        <v>400000</v>
      </c>
      <c r="AA27" s="33">
        <v>5</v>
      </c>
      <c r="AB27" s="34">
        <v>44216</v>
      </c>
      <c r="AC27" s="89">
        <v>44225</v>
      </c>
      <c r="AD27" s="32">
        <v>0</v>
      </c>
      <c r="AE27" s="35"/>
      <c r="AF27" s="36"/>
      <c r="AG27" s="89"/>
      <c r="AH27" s="32"/>
      <c r="AI27" s="33"/>
      <c r="AJ27" s="36"/>
      <c r="AK27" s="89"/>
      <c r="AL27" s="32"/>
      <c r="AM27" s="33"/>
      <c r="AN27" s="36"/>
      <c r="AO27" s="89"/>
      <c r="AP27" s="32"/>
      <c r="AQ27" s="33"/>
      <c r="AR27" s="36"/>
      <c r="AS27" s="89"/>
      <c r="AT27" s="37">
        <f t="shared" si="1"/>
        <v>400000</v>
      </c>
      <c r="AU27" s="38">
        <f t="shared" si="2"/>
        <v>252164</v>
      </c>
    </row>
    <row r="28" spans="2:47" s="26" customFormat="1" ht="22.5" x14ac:dyDescent="0.25">
      <c r="B28" s="27">
        <v>14</v>
      </c>
      <c r="C28" s="27" t="s">
        <v>39</v>
      </c>
      <c r="D28" s="28">
        <v>30353379</v>
      </c>
      <c r="E28" s="29" t="s">
        <v>77</v>
      </c>
      <c r="F28" s="29" t="s">
        <v>54</v>
      </c>
      <c r="G28" s="30" t="s">
        <v>55</v>
      </c>
      <c r="H28" s="42" t="s">
        <v>78</v>
      </c>
      <c r="I28" s="88" t="s">
        <v>57</v>
      </c>
      <c r="J28" s="31">
        <v>9497110</v>
      </c>
      <c r="K28" s="31">
        <v>8471718</v>
      </c>
      <c r="L28" s="31">
        <v>0</v>
      </c>
      <c r="M28" s="31">
        <v>0</v>
      </c>
      <c r="N28" s="31">
        <v>33016</v>
      </c>
      <c r="O28" s="31">
        <v>269564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0"/>
        <v>302580</v>
      </c>
      <c r="Z28" s="32">
        <v>910000</v>
      </c>
      <c r="AA28" s="33">
        <v>5</v>
      </c>
      <c r="AB28" s="34">
        <v>44216</v>
      </c>
      <c r="AC28" s="89">
        <v>44225</v>
      </c>
      <c r="AD28" s="32">
        <v>0</v>
      </c>
      <c r="AE28" s="35"/>
      <c r="AF28" s="36"/>
      <c r="AG28" s="89"/>
      <c r="AH28" s="32"/>
      <c r="AI28" s="33"/>
      <c r="AJ28" s="36"/>
      <c r="AK28" s="89"/>
      <c r="AL28" s="32"/>
      <c r="AM28" s="33"/>
      <c r="AN28" s="36"/>
      <c r="AO28" s="89"/>
      <c r="AP28" s="32"/>
      <c r="AQ28" s="33"/>
      <c r="AR28" s="36"/>
      <c r="AS28" s="89"/>
      <c r="AT28" s="37">
        <f t="shared" si="1"/>
        <v>910000</v>
      </c>
      <c r="AU28" s="38">
        <f t="shared" si="2"/>
        <v>607420</v>
      </c>
    </row>
    <row r="29" spans="2:47" s="26" customFormat="1" ht="22.5" x14ac:dyDescent="0.25">
      <c r="B29" s="27">
        <v>15</v>
      </c>
      <c r="C29" s="27" t="s">
        <v>39</v>
      </c>
      <c r="D29" s="28">
        <v>30353380</v>
      </c>
      <c r="E29" s="29" t="s">
        <v>79</v>
      </c>
      <c r="F29" s="29" t="s">
        <v>54</v>
      </c>
      <c r="G29" s="30" t="s">
        <v>55</v>
      </c>
      <c r="H29" s="42" t="s">
        <v>80</v>
      </c>
      <c r="I29" s="88" t="s">
        <v>57</v>
      </c>
      <c r="J29" s="31">
        <v>11383671</v>
      </c>
      <c r="K29" s="31">
        <v>6119512</v>
      </c>
      <c r="L29" s="31">
        <v>0</v>
      </c>
      <c r="M29" s="31">
        <v>0</v>
      </c>
      <c r="N29" s="31">
        <v>101474</v>
      </c>
      <c r="O29" s="31">
        <v>182423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0"/>
        <v>283897</v>
      </c>
      <c r="Z29" s="32">
        <v>1100000</v>
      </c>
      <c r="AA29" s="33">
        <v>5</v>
      </c>
      <c r="AB29" s="34">
        <v>44216</v>
      </c>
      <c r="AC29" s="89">
        <v>44225</v>
      </c>
      <c r="AD29" s="32">
        <v>0</v>
      </c>
      <c r="AE29" s="35"/>
      <c r="AF29" s="36"/>
      <c r="AG29" s="89"/>
      <c r="AH29" s="32"/>
      <c r="AI29" s="33"/>
      <c r="AJ29" s="36"/>
      <c r="AK29" s="89"/>
      <c r="AL29" s="32"/>
      <c r="AM29" s="33"/>
      <c r="AN29" s="36"/>
      <c r="AO29" s="89"/>
      <c r="AP29" s="32"/>
      <c r="AQ29" s="33"/>
      <c r="AR29" s="36"/>
      <c r="AS29" s="89"/>
      <c r="AT29" s="37">
        <f t="shared" si="1"/>
        <v>1100000</v>
      </c>
      <c r="AU29" s="38">
        <f t="shared" si="2"/>
        <v>816103</v>
      </c>
    </row>
    <row r="30" spans="2:47" s="26" customFormat="1" x14ac:dyDescent="0.25">
      <c r="B30" s="27">
        <v>16</v>
      </c>
      <c r="C30" s="27" t="s">
        <v>39</v>
      </c>
      <c r="D30" s="28">
        <v>30076167</v>
      </c>
      <c r="E30" s="29" t="s">
        <v>81</v>
      </c>
      <c r="F30" s="29" t="s">
        <v>54</v>
      </c>
      <c r="G30" s="30" t="s">
        <v>55</v>
      </c>
      <c r="H30" s="42" t="s">
        <v>82</v>
      </c>
      <c r="I30" s="88" t="s">
        <v>57</v>
      </c>
      <c r="J30" s="31">
        <v>15714653</v>
      </c>
      <c r="K30" s="31">
        <v>1716979</v>
      </c>
      <c r="L30" s="31">
        <v>3306082</v>
      </c>
      <c r="M30" s="31">
        <v>0</v>
      </c>
      <c r="N30" s="31">
        <v>0</v>
      </c>
      <c r="O30" s="31">
        <v>4083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0"/>
        <v>4083</v>
      </c>
      <c r="Z30" s="32">
        <v>5010000</v>
      </c>
      <c r="AA30" s="33">
        <v>5</v>
      </c>
      <c r="AB30" s="34">
        <v>44216</v>
      </c>
      <c r="AC30" s="89">
        <v>44225</v>
      </c>
      <c r="AD30" s="32">
        <v>-171557</v>
      </c>
      <c r="AE30" s="35">
        <v>16</v>
      </c>
      <c r="AF30" s="41">
        <v>44253</v>
      </c>
      <c r="AG30" s="89">
        <v>44274</v>
      </c>
      <c r="AH30" s="32"/>
      <c r="AI30" s="33"/>
      <c r="AJ30" s="36"/>
      <c r="AK30" s="89"/>
      <c r="AL30" s="32"/>
      <c r="AM30" s="33"/>
      <c r="AN30" s="36"/>
      <c r="AO30" s="89"/>
      <c r="AP30" s="32"/>
      <c r="AQ30" s="33"/>
      <c r="AR30" s="36"/>
      <c r="AS30" s="89"/>
      <c r="AT30" s="37">
        <f t="shared" si="1"/>
        <v>4838443</v>
      </c>
      <c r="AU30" s="38">
        <f t="shared" si="2"/>
        <v>4834360</v>
      </c>
    </row>
    <row r="31" spans="2:47" s="26" customFormat="1" ht="22.5" x14ac:dyDescent="0.25">
      <c r="B31" s="27">
        <v>17</v>
      </c>
      <c r="C31" s="27" t="s">
        <v>39</v>
      </c>
      <c r="D31" s="28">
        <v>30132215</v>
      </c>
      <c r="E31" s="29" t="s">
        <v>83</v>
      </c>
      <c r="F31" s="29" t="s">
        <v>54</v>
      </c>
      <c r="G31" s="30" t="s">
        <v>55</v>
      </c>
      <c r="H31" s="42" t="s">
        <v>68</v>
      </c>
      <c r="I31" s="88" t="s">
        <v>57</v>
      </c>
      <c r="J31" s="31">
        <v>1123225</v>
      </c>
      <c r="K31" s="31">
        <v>567437</v>
      </c>
      <c r="L31" s="31">
        <v>1</v>
      </c>
      <c r="M31" s="31">
        <v>0</v>
      </c>
      <c r="N31" s="31">
        <v>3000</v>
      </c>
      <c r="O31" s="31">
        <v>1500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0"/>
        <v>4500</v>
      </c>
      <c r="Z31" s="32">
        <v>509000</v>
      </c>
      <c r="AA31" s="33">
        <v>5</v>
      </c>
      <c r="AB31" s="34">
        <v>44216</v>
      </c>
      <c r="AC31" s="89">
        <v>44225</v>
      </c>
      <c r="AD31" s="32">
        <v>0</v>
      </c>
      <c r="AE31" s="35"/>
      <c r="AF31" s="36"/>
      <c r="AG31" s="89"/>
      <c r="AH31" s="32"/>
      <c r="AI31" s="33"/>
      <c r="AJ31" s="36"/>
      <c r="AK31" s="89"/>
      <c r="AL31" s="32"/>
      <c r="AM31" s="33"/>
      <c r="AN31" s="36"/>
      <c r="AO31" s="89"/>
      <c r="AP31" s="32"/>
      <c r="AQ31" s="33"/>
      <c r="AR31" s="36"/>
      <c r="AS31" s="89"/>
      <c r="AT31" s="37">
        <f t="shared" si="1"/>
        <v>509000</v>
      </c>
      <c r="AU31" s="38">
        <f t="shared" si="2"/>
        <v>504500</v>
      </c>
    </row>
    <row r="32" spans="2:47" s="26" customFormat="1" ht="22.5" x14ac:dyDescent="0.25">
      <c r="B32" s="27">
        <v>18</v>
      </c>
      <c r="C32" s="27" t="s">
        <v>39</v>
      </c>
      <c r="D32" s="28">
        <v>30439572</v>
      </c>
      <c r="E32" s="29" t="s">
        <v>84</v>
      </c>
      <c r="F32" s="29" t="s">
        <v>54</v>
      </c>
      <c r="G32" s="30" t="s">
        <v>55</v>
      </c>
      <c r="H32" s="42" t="s">
        <v>68</v>
      </c>
      <c r="I32" s="88" t="s">
        <v>57</v>
      </c>
      <c r="J32" s="31">
        <v>2190082</v>
      </c>
      <c r="K32" s="31">
        <v>1847847</v>
      </c>
      <c r="L32" s="31">
        <v>0</v>
      </c>
      <c r="M32" s="31">
        <v>0</v>
      </c>
      <c r="N32" s="31">
        <v>78651</v>
      </c>
      <c r="O32" s="31">
        <v>175616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0"/>
        <v>254267</v>
      </c>
      <c r="Z32" s="32">
        <v>310000</v>
      </c>
      <c r="AA32" s="33">
        <v>5</v>
      </c>
      <c r="AB32" s="34">
        <v>44216</v>
      </c>
      <c r="AC32" s="89">
        <v>44225</v>
      </c>
      <c r="AD32" s="32">
        <v>0</v>
      </c>
      <c r="AE32" s="35"/>
      <c r="AF32" s="36"/>
      <c r="AG32" s="89"/>
      <c r="AH32" s="32"/>
      <c r="AI32" s="33"/>
      <c r="AJ32" s="36"/>
      <c r="AK32" s="89"/>
      <c r="AL32" s="32"/>
      <c r="AM32" s="33"/>
      <c r="AN32" s="36"/>
      <c r="AO32" s="89"/>
      <c r="AP32" s="32"/>
      <c r="AQ32" s="33"/>
      <c r="AR32" s="36"/>
      <c r="AS32" s="89"/>
      <c r="AT32" s="37">
        <f t="shared" si="1"/>
        <v>310000</v>
      </c>
      <c r="AU32" s="38">
        <f t="shared" si="2"/>
        <v>55733</v>
      </c>
    </row>
    <row r="33" spans="2:47" s="26" customFormat="1" ht="22.5" x14ac:dyDescent="0.25">
      <c r="B33" s="27">
        <v>19</v>
      </c>
      <c r="C33" s="27" t="s">
        <v>39</v>
      </c>
      <c r="D33" s="28">
        <v>30264173</v>
      </c>
      <c r="E33" s="29" t="s">
        <v>85</v>
      </c>
      <c r="F33" s="29" t="s">
        <v>54</v>
      </c>
      <c r="G33" s="30" t="s">
        <v>55</v>
      </c>
      <c r="H33" s="42" t="s">
        <v>86</v>
      </c>
      <c r="I33" s="88" t="s">
        <v>72</v>
      </c>
      <c r="J33" s="31">
        <v>2238043</v>
      </c>
      <c r="K33" s="31">
        <v>0</v>
      </c>
      <c r="L33" s="31">
        <v>660606</v>
      </c>
      <c r="M33" s="31">
        <v>0</v>
      </c>
      <c r="N33" s="31">
        <v>0</v>
      </c>
      <c r="O33" s="31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0"/>
        <v>0</v>
      </c>
      <c r="Z33" s="32">
        <v>272000</v>
      </c>
      <c r="AA33" s="33">
        <v>5</v>
      </c>
      <c r="AB33" s="34">
        <v>44216</v>
      </c>
      <c r="AC33" s="89">
        <v>44225</v>
      </c>
      <c r="AD33" s="32">
        <v>0</v>
      </c>
      <c r="AE33" s="35"/>
      <c r="AF33" s="36"/>
      <c r="AG33" s="89"/>
      <c r="AH33" s="32"/>
      <c r="AI33" s="33"/>
      <c r="AJ33" s="36"/>
      <c r="AK33" s="89"/>
      <c r="AL33" s="32"/>
      <c r="AM33" s="33"/>
      <c r="AN33" s="36"/>
      <c r="AO33" s="89"/>
      <c r="AP33" s="32"/>
      <c r="AQ33" s="33"/>
      <c r="AR33" s="36"/>
      <c r="AS33" s="89"/>
      <c r="AT33" s="37">
        <f t="shared" si="1"/>
        <v>272000</v>
      </c>
      <c r="AU33" s="38">
        <f t="shared" si="2"/>
        <v>272000</v>
      </c>
    </row>
    <row r="34" spans="2:47" s="26" customFormat="1" ht="22.5" x14ac:dyDescent="0.25">
      <c r="B34" s="27">
        <v>20</v>
      </c>
      <c r="C34" s="27" t="s">
        <v>39</v>
      </c>
      <c r="D34" s="28">
        <v>40000564</v>
      </c>
      <c r="E34" s="29" t="s">
        <v>87</v>
      </c>
      <c r="F34" s="29" t="s">
        <v>54</v>
      </c>
      <c r="G34" s="30" t="s">
        <v>55</v>
      </c>
      <c r="H34" s="42" t="s">
        <v>56</v>
      </c>
      <c r="I34" s="88" t="s">
        <v>57</v>
      </c>
      <c r="J34" s="31">
        <v>1905262</v>
      </c>
      <c r="K34" s="31">
        <v>527138</v>
      </c>
      <c r="L34" s="31">
        <v>0</v>
      </c>
      <c r="M34" s="31">
        <v>0</v>
      </c>
      <c r="N34" s="31">
        <v>0</v>
      </c>
      <c r="O34" s="31">
        <v>117337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0"/>
        <v>117337</v>
      </c>
      <c r="Z34" s="32">
        <v>147000</v>
      </c>
      <c r="AA34" s="33">
        <v>5</v>
      </c>
      <c r="AB34" s="34">
        <v>44216</v>
      </c>
      <c r="AC34" s="89">
        <v>44225</v>
      </c>
      <c r="AD34" s="32">
        <v>0</v>
      </c>
      <c r="AE34" s="35"/>
      <c r="AF34" s="36"/>
      <c r="AG34" s="89"/>
      <c r="AH34" s="32"/>
      <c r="AI34" s="33"/>
      <c r="AJ34" s="36"/>
      <c r="AK34" s="89"/>
      <c r="AL34" s="32"/>
      <c r="AM34" s="33"/>
      <c r="AN34" s="36"/>
      <c r="AO34" s="89"/>
      <c r="AP34" s="32"/>
      <c r="AQ34" s="33"/>
      <c r="AR34" s="36"/>
      <c r="AS34" s="89"/>
      <c r="AT34" s="37">
        <f t="shared" si="1"/>
        <v>147000</v>
      </c>
      <c r="AU34" s="38">
        <f t="shared" si="2"/>
        <v>29663</v>
      </c>
    </row>
    <row r="35" spans="2:47" s="26" customFormat="1" ht="22.5" x14ac:dyDescent="0.25">
      <c r="B35" s="27">
        <v>21</v>
      </c>
      <c r="C35" s="27" t="s">
        <v>39</v>
      </c>
      <c r="D35" s="28">
        <v>40001138</v>
      </c>
      <c r="E35" s="29" t="s">
        <v>88</v>
      </c>
      <c r="F35" s="29" t="s">
        <v>54</v>
      </c>
      <c r="G35" s="30" t="s">
        <v>55</v>
      </c>
      <c r="H35" s="42" t="s">
        <v>89</v>
      </c>
      <c r="I35" s="88" t="s">
        <v>72</v>
      </c>
      <c r="J35" s="31">
        <v>298191</v>
      </c>
      <c r="K35" s="31">
        <v>0</v>
      </c>
      <c r="L35" s="31">
        <v>265671</v>
      </c>
      <c r="M35" s="31">
        <v>0</v>
      </c>
      <c r="N35" s="31">
        <v>0</v>
      </c>
      <c r="O35" s="31">
        <v>0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0"/>
        <v>0</v>
      </c>
      <c r="Z35" s="32">
        <v>33000</v>
      </c>
      <c r="AA35" s="33">
        <v>5</v>
      </c>
      <c r="AB35" s="34">
        <v>44216</v>
      </c>
      <c r="AC35" s="89">
        <v>44225</v>
      </c>
      <c r="AD35" s="32">
        <v>0</v>
      </c>
      <c r="AE35" s="35"/>
      <c r="AF35" s="36"/>
      <c r="AG35" s="89"/>
      <c r="AH35" s="32"/>
      <c r="AI35" s="33"/>
      <c r="AJ35" s="36"/>
      <c r="AK35" s="89"/>
      <c r="AL35" s="32"/>
      <c r="AM35" s="33"/>
      <c r="AN35" s="36"/>
      <c r="AO35" s="89"/>
      <c r="AP35" s="32"/>
      <c r="AQ35" s="33"/>
      <c r="AR35" s="36"/>
      <c r="AS35" s="89"/>
      <c r="AT35" s="37">
        <f t="shared" si="1"/>
        <v>33000</v>
      </c>
      <c r="AU35" s="38">
        <f t="shared" si="2"/>
        <v>33000</v>
      </c>
    </row>
    <row r="36" spans="2:47" s="26" customFormat="1" ht="22.5" x14ac:dyDescent="0.25">
      <c r="B36" s="27">
        <v>22</v>
      </c>
      <c r="C36" s="27" t="s">
        <v>39</v>
      </c>
      <c r="D36" s="28">
        <v>40000902</v>
      </c>
      <c r="E36" s="29" t="s">
        <v>90</v>
      </c>
      <c r="F36" s="29" t="s">
        <v>54</v>
      </c>
      <c r="G36" s="30" t="s">
        <v>55</v>
      </c>
      <c r="H36" s="42" t="s">
        <v>82</v>
      </c>
      <c r="I36" s="88" t="s">
        <v>57</v>
      </c>
      <c r="J36" s="31">
        <v>695832</v>
      </c>
      <c r="K36" s="31">
        <v>353885</v>
      </c>
      <c r="L36" s="31">
        <v>0</v>
      </c>
      <c r="M36" s="31">
        <v>0</v>
      </c>
      <c r="N36" s="31">
        <v>23637</v>
      </c>
      <c r="O36" s="31">
        <v>0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0"/>
        <v>23637</v>
      </c>
      <c r="Z36" s="32">
        <v>22236</v>
      </c>
      <c r="AA36" s="33">
        <v>5</v>
      </c>
      <c r="AB36" s="34">
        <v>44216</v>
      </c>
      <c r="AC36" s="89">
        <v>44225</v>
      </c>
      <c r="AD36" s="32">
        <v>1400</v>
      </c>
      <c r="AE36" s="35">
        <v>16</v>
      </c>
      <c r="AF36" s="41">
        <v>44253</v>
      </c>
      <c r="AG36" s="89">
        <v>44274</v>
      </c>
      <c r="AH36" s="32"/>
      <c r="AI36" s="33"/>
      <c r="AJ36" s="36"/>
      <c r="AK36" s="89"/>
      <c r="AL36" s="32"/>
      <c r="AM36" s="33"/>
      <c r="AN36" s="36"/>
      <c r="AO36" s="89"/>
      <c r="AP36" s="32"/>
      <c r="AQ36" s="33"/>
      <c r="AR36" s="36"/>
      <c r="AS36" s="89"/>
      <c r="AT36" s="37">
        <f t="shared" si="1"/>
        <v>23636</v>
      </c>
      <c r="AU36" s="38">
        <f t="shared" si="2"/>
        <v>-1</v>
      </c>
    </row>
    <row r="37" spans="2:47" s="26" customFormat="1" x14ac:dyDescent="0.25">
      <c r="B37" s="27">
        <v>23</v>
      </c>
      <c r="C37" s="27" t="s">
        <v>39</v>
      </c>
      <c r="D37" s="28">
        <v>30484287</v>
      </c>
      <c r="E37" s="29" t="s">
        <v>91</v>
      </c>
      <c r="F37" s="29" t="s">
        <v>54</v>
      </c>
      <c r="G37" s="30" t="s">
        <v>55</v>
      </c>
      <c r="H37" s="42" t="s">
        <v>64</v>
      </c>
      <c r="I37" s="88" t="s">
        <v>57</v>
      </c>
      <c r="J37" s="31">
        <v>2090327</v>
      </c>
      <c r="K37" s="31">
        <v>1811988</v>
      </c>
      <c r="L37" s="31">
        <v>0</v>
      </c>
      <c r="M37" s="31">
        <v>0</v>
      </c>
      <c r="N37" s="31">
        <v>6293</v>
      </c>
      <c r="O37" s="31">
        <v>35329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0"/>
        <v>41622</v>
      </c>
      <c r="Z37" s="32">
        <v>127740</v>
      </c>
      <c r="AA37" s="33">
        <v>5</v>
      </c>
      <c r="AB37" s="34">
        <v>44216</v>
      </c>
      <c r="AC37" s="89">
        <v>44225</v>
      </c>
      <c r="AD37" s="32">
        <v>0</v>
      </c>
      <c r="AE37" s="35"/>
      <c r="AF37" s="36"/>
      <c r="AG37" s="89"/>
      <c r="AH37" s="32"/>
      <c r="AI37" s="33"/>
      <c r="AJ37" s="36"/>
      <c r="AK37" s="89"/>
      <c r="AL37" s="32"/>
      <c r="AM37" s="33"/>
      <c r="AN37" s="36"/>
      <c r="AO37" s="89"/>
      <c r="AP37" s="32"/>
      <c r="AQ37" s="33"/>
      <c r="AR37" s="36"/>
      <c r="AS37" s="89"/>
      <c r="AT37" s="37">
        <f t="shared" si="1"/>
        <v>127740</v>
      </c>
      <c r="AU37" s="38">
        <f t="shared" si="2"/>
        <v>86118</v>
      </c>
    </row>
    <row r="38" spans="2:47" s="26" customFormat="1" ht="22.5" x14ac:dyDescent="0.25">
      <c r="B38" s="27">
        <v>24</v>
      </c>
      <c r="C38" s="27" t="s">
        <v>39</v>
      </c>
      <c r="D38" s="28">
        <v>30356572</v>
      </c>
      <c r="E38" s="29" t="s">
        <v>92</v>
      </c>
      <c r="F38" s="29" t="s">
        <v>54</v>
      </c>
      <c r="G38" s="30" t="s">
        <v>55</v>
      </c>
      <c r="H38" s="42" t="s">
        <v>93</v>
      </c>
      <c r="I38" s="88" t="s">
        <v>72</v>
      </c>
      <c r="J38" s="31">
        <v>9876271</v>
      </c>
      <c r="K38" s="31">
        <v>18658</v>
      </c>
      <c r="L38" s="31">
        <v>8157110</v>
      </c>
      <c r="M38" s="31">
        <v>0</v>
      </c>
      <c r="N38" s="31">
        <v>0</v>
      </c>
      <c r="O38" s="31">
        <v>0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0"/>
        <v>0</v>
      </c>
      <c r="Z38" s="32">
        <v>1010000</v>
      </c>
      <c r="AA38" s="33">
        <v>5</v>
      </c>
      <c r="AB38" s="34">
        <v>44216</v>
      </c>
      <c r="AC38" s="89">
        <v>44225</v>
      </c>
      <c r="AD38" s="32">
        <v>0</v>
      </c>
      <c r="AE38" s="35"/>
      <c r="AF38" s="36"/>
      <c r="AG38" s="89"/>
      <c r="AH38" s="32"/>
      <c r="AI38" s="33"/>
      <c r="AJ38" s="36"/>
      <c r="AK38" s="89"/>
      <c r="AL38" s="32"/>
      <c r="AM38" s="33"/>
      <c r="AN38" s="36"/>
      <c r="AO38" s="89"/>
      <c r="AP38" s="32"/>
      <c r="AQ38" s="33"/>
      <c r="AR38" s="36"/>
      <c r="AS38" s="89"/>
      <c r="AT38" s="37">
        <f t="shared" si="1"/>
        <v>1010000</v>
      </c>
      <c r="AU38" s="38">
        <f t="shared" si="2"/>
        <v>1010000</v>
      </c>
    </row>
    <row r="39" spans="2:47" s="26" customFormat="1" x14ac:dyDescent="0.25">
      <c r="B39" s="27">
        <v>25</v>
      </c>
      <c r="C39" s="27" t="s">
        <v>39</v>
      </c>
      <c r="D39" s="28">
        <v>30440745</v>
      </c>
      <c r="E39" s="29" t="s">
        <v>94</v>
      </c>
      <c r="F39" s="29" t="s">
        <v>54</v>
      </c>
      <c r="G39" s="30" t="s">
        <v>55</v>
      </c>
      <c r="H39" s="42" t="s">
        <v>56</v>
      </c>
      <c r="I39" s="88" t="s">
        <v>57</v>
      </c>
      <c r="J39" s="31">
        <v>2678433</v>
      </c>
      <c r="K39" s="31">
        <v>0</v>
      </c>
      <c r="L39" s="31">
        <v>2132805</v>
      </c>
      <c r="M39" s="31">
        <v>0</v>
      </c>
      <c r="N39" s="31">
        <v>0</v>
      </c>
      <c r="O39" s="31"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0"/>
        <v>0</v>
      </c>
      <c r="Z39" s="32">
        <v>507000</v>
      </c>
      <c r="AA39" s="33">
        <v>5</v>
      </c>
      <c r="AB39" s="34">
        <v>44216</v>
      </c>
      <c r="AC39" s="89">
        <v>44225</v>
      </c>
      <c r="AD39" s="32">
        <v>0</v>
      </c>
      <c r="AE39" s="35"/>
      <c r="AF39" s="36"/>
      <c r="AG39" s="89"/>
      <c r="AH39" s="32"/>
      <c r="AI39" s="33"/>
      <c r="AJ39" s="36"/>
      <c r="AK39" s="89"/>
      <c r="AL39" s="32"/>
      <c r="AM39" s="33"/>
      <c r="AN39" s="36"/>
      <c r="AO39" s="89"/>
      <c r="AP39" s="32"/>
      <c r="AQ39" s="33"/>
      <c r="AR39" s="36"/>
      <c r="AS39" s="89"/>
      <c r="AT39" s="37">
        <f t="shared" si="1"/>
        <v>507000</v>
      </c>
      <c r="AU39" s="38">
        <f t="shared" si="2"/>
        <v>507000</v>
      </c>
    </row>
    <row r="40" spans="2:47" s="26" customFormat="1" ht="22.5" x14ac:dyDescent="0.25">
      <c r="B40" s="27">
        <v>26</v>
      </c>
      <c r="C40" s="27" t="s">
        <v>39</v>
      </c>
      <c r="D40" s="28">
        <v>30124316</v>
      </c>
      <c r="E40" s="29" t="s">
        <v>95</v>
      </c>
      <c r="F40" s="29" t="s">
        <v>54</v>
      </c>
      <c r="G40" s="30" t="s">
        <v>55</v>
      </c>
      <c r="H40" s="42" t="s">
        <v>68</v>
      </c>
      <c r="I40" s="88" t="s">
        <v>57</v>
      </c>
      <c r="J40" s="31">
        <v>2314402</v>
      </c>
      <c r="K40" s="31">
        <v>1188787</v>
      </c>
      <c r="L40" s="31">
        <v>0</v>
      </c>
      <c r="M40" s="31">
        <v>0</v>
      </c>
      <c r="N40" s="31">
        <v>33962</v>
      </c>
      <c r="O40" s="31"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0"/>
        <v>33962</v>
      </c>
      <c r="Z40" s="32">
        <v>650000</v>
      </c>
      <c r="AA40" s="33">
        <v>5</v>
      </c>
      <c r="AB40" s="34">
        <v>44216</v>
      </c>
      <c r="AC40" s="89">
        <v>44225</v>
      </c>
      <c r="AD40" s="32">
        <v>0</v>
      </c>
      <c r="AE40" s="35"/>
      <c r="AF40" s="36"/>
      <c r="AG40" s="89"/>
      <c r="AH40" s="32"/>
      <c r="AI40" s="33"/>
      <c r="AJ40" s="36"/>
      <c r="AK40" s="89"/>
      <c r="AL40" s="32"/>
      <c r="AM40" s="33"/>
      <c r="AN40" s="36"/>
      <c r="AO40" s="89"/>
      <c r="AP40" s="32"/>
      <c r="AQ40" s="33"/>
      <c r="AR40" s="36"/>
      <c r="AS40" s="89"/>
      <c r="AT40" s="37">
        <f t="shared" si="1"/>
        <v>650000</v>
      </c>
      <c r="AU40" s="38">
        <f t="shared" si="2"/>
        <v>616038</v>
      </c>
    </row>
    <row r="41" spans="2:47" s="26" customFormat="1" ht="22.5" x14ac:dyDescent="0.25">
      <c r="B41" s="27">
        <v>27</v>
      </c>
      <c r="C41" s="27" t="s">
        <v>39</v>
      </c>
      <c r="D41" s="28">
        <v>30072770</v>
      </c>
      <c r="E41" s="29" t="s">
        <v>96</v>
      </c>
      <c r="F41" s="29" t="s">
        <v>54</v>
      </c>
      <c r="G41" s="30" t="s">
        <v>55</v>
      </c>
      <c r="H41" s="42" t="s">
        <v>56</v>
      </c>
      <c r="I41" s="88" t="s">
        <v>72</v>
      </c>
      <c r="J41" s="31">
        <v>2040928</v>
      </c>
      <c r="K41" s="31">
        <v>1792</v>
      </c>
      <c r="L41" s="31">
        <v>0</v>
      </c>
      <c r="M41" s="31">
        <v>0</v>
      </c>
      <c r="N41" s="31">
        <v>0</v>
      </c>
      <c r="O41" s="31">
        <v>0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0"/>
        <v>0</v>
      </c>
      <c r="Z41" s="32">
        <v>800000</v>
      </c>
      <c r="AA41" s="33">
        <v>5</v>
      </c>
      <c r="AB41" s="34">
        <v>44216</v>
      </c>
      <c r="AC41" s="89">
        <v>44225</v>
      </c>
      <c r="AD41" s="32">
        <v>0</v>
      </c>
      <c r="AE41" s="35"/>
      <c r="AF41" s="36"/>
      <c r="AG41" s="89"/>
      <c r="AH41" s="32"/>
      <c r="AI41" s="33"/>
      <c r="AJ41" s="36"/>
      <c r="AK41" s="89"/>
      <c r="AL41" s="32"/>
      <c r="AM41" s="33"/>
      <c r="AN41" s="36"/>
      <c r="AO41" s="89"/>
      <c r="AP41" s="32"/>
      <c r="AQ41" s="33"/>
      <c r="AR41" s="36"/>
      <c r="AS41" s="89"/>
      <c r="AT41" s="37">
        <f t="shared" si="1"/>
        <v>800000</v>
      </c>
      <c r="AU41" s="38">
        <f t="shared" si="2"/>
        <v>800000</v>
      </c>
    </row>
    <row r="42" spans="2:47" s="26" customFormat="1" x14ac:dyDescent="0.25">
      <c r="B42" s="27">
        <v>28</v>
      </c>
      <c r="C42" s="27" t="s">
        <v>39</v>
      </c>
      <c r="D42" s="28">
        <v>40000774</v>
      </c>
      <c r="E42" s="29" t="s">
        <v>97</v>
      </c>
      <c r="F42" s="29" t="s">
        <v>54</v>
      </c>
      <c r="G42" s="30" t="s">
        <v>55</v>
      </c>
      <c r="H42" s="42" t="s">
        <v>56</v>
      </c>
      <c r="I42" s="88" t="s">
        <v>57</v>
      </c>
      <c r="J42" s="31">
        <v>814911</v>
      </c>
      <c r="K42" s="31">
        <v>640433</v>
      </c>
      <c r="L42" s="31">
        <v>0</v>
      </c>
      <c r="M42" s="31">
        <v>0</v>
      </c>
      <c r="N42" s="31">
        <v>24162</v>
      </c>
      <c r="O42" s="31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0"/>
        <v>24162</v>
      </c>
      <c r="Z42" s="32">
        <v>144162</v>
      </c>
      <c r="AA42" s="33">
        <v>5</v>
      </c>
      <c r="AB42" s="34">
        <v>44216</v>
      </c>
      <c r="AC42" s="89">
        <v>44225</v>
      </c>
      <c r="AD42" s="32">
        <v>0</v>
      </c>
      <c r="AE42" s="35"/>
      <c r="AF42" s="36"/>
      <c r="AG42" s="89"/>
      <c r="AH42" s="32"/>
      <c r="AI42" s="33"/>
      <c r="AJ42" s="36"/>
      <c r="AK42" s="89"/>
      <c r="AL42" s="32"/>
      <c r="AM42" s="33"/>
      <c r="AN42" s="36"/>
      <c r="AO42" s="89"/>
      <c r="AP42" s="32"/>
      <c r="AQ42" s="33"/>
      <c r="AR42" s="36"/>
      <c r="AS42" s="89"/>
      <c r="AT42" s="37">
        <f t="shared" ref="AT42:AT93" si="3">+Z42+AD42+AH42+AL42+AP42</f>
        <v>144162</v>
      </c>
      <c r="AU42" s="38">
        <f t="shared" ref="AU42:AU93" si="4">+AT42-Y42</f>
        <v>120000</v>
      </c>
    </row>
    <row r="43" spans="2:47" s="26" customFormat="1" x14ac:dyDescent="0.25">
      <c r="B43" s="27">
        <v>29</v>
      </c>
      <c r="C43" s="27" t="s">
        <v>39</v>
      </c>
      <c r="D43" s="28">
        <v>30096128</v>
      </c>
      <c r="E43" s="29" t="s">
        <v>98</v>
      </c>
      <c r="F43" s="29" t="s">
        <v>54</v>
      </c>
      <c r="G43" s="30" t="s">
        <v>55</v>
      </c>
      <c r="H43" s="42" t="s">
        <v>89</v>
      </c>
      <c r="I43" s="88" t="s">
        <v>57</v>
      </c>
      <c r="J43" s="31">
        <v>7836830</v>
      </c>
      <c r="K43" s="31">
        <v>0</v>
      </c>
      <c r="L43" s="31">
        <v>5332531</v>
      </c>
      <c r="M43" s="31">
        <v>0</v>
      </c>
      <c r="N43" s="31">
        <v>0</v>
      </c>
      <c r="O43" s="31">
        <v>0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0"/>
        <v>0</v>
      </c>
      <c r="Z43" s="32">
        <v>510000</v>
      </c>
      <c r="AA43" s="33">
        <v>5</v>
      </c>
      <c r="AB43" s="34">
        <v>44216</v>
      </c>
      <c r="AC43" s="89">
        <v>44225</v>
      </c>
      <c r="AD43" s="32">
        <v>3478</v>
      </c>
      <c r="AE43" s="35">
        <v>16</v>
      </c>
      <c r="AF43" s="41">
        <v>44253</v>
      </c>
      <c r="AG43" s="89">
        <v>44274</v>
      </c>
      <c r="AH43" s="32"/>
      <c r="AI43" s="33"/>
      <c r="AJ43" s="36"/>
      <c r="AK43" s="89"/>
      <c r="AL43" s="32"/>
      <c r="AM43" s="33"/>
      <c r="AN43" s="36"/>
      <c r="AO43" s="89"/>
      <c r="AP43" s="32"/>
      <c r="AQ43" s="33"/>
      <c r="AR43" s="36"/>
      <c r="AS43" s="89"/>
      <c r="AT43" s="37">
        <f t="shared" si="3"/>
        <v>513478</v>
      </c>
      <c r="AU43" s="38">
        <f t="shared" si="4"/>
        <v>513478</v>
      </c>
    </row>
    <row r="44" spans="2:47" s="26" customFormat="1" x14ac:dyDescent="0.25">
      <c r="B44" s="27">
        <v>30</v>
      </c>
      <c r="C44" s="27" t="s">
        <v>39</v>
      </c>
      <c r="D44" s="28">
        <v>30088016</v>
      </c>
      <c r="E44" s="29" t="s">
        <v>99</v>
      </c>
      <c r="F44" s="29" t="s">
        <v>54</v>
      </c>
      <c r="G44" s="30" t="s">
        <v>55</v>
      </c>
      <c r="H44" s="42" t="s">
        <v>68</v>
      </c>
      <c r="I44" s="88" t="s">
        <v>57</v>
      </c>
      <c r="J44" s="31">
        <v>307687</v>
      </c>
      <c r="K44" s="31">
        <v>182410</v>
      </c>
      <c r="L44" s="31">
        <v>0</v>
      </c>
      <c r="M44" s="31">
        <v>0</v>
      </c>
      <c r="N44" s="31">
        <v>0</v>
      </c>
      <c r="O44" s="31">
        <v>206103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0"/>
        <v>206103</v>
      </c>
      <c r="Z44" s="32">
        <v>290944</v>
      </c>
      <c r="AA44" s="33">
        <v>5</v>
      </c>
      <c r="AB44" s="34">
        <v>44216</v>
      </c>
      <c r="AC44" s="89">
        <v>44225</v>
      </c>
      <c r="AD44" s="32">
        <v>0</v>
      </c>
      <c r="AE44" s="35"/>
      <c r="AF44" s="36"/>
      <c r="AG44" s="89"/>
      <c r="AH44" s="32"/>
      <c r="AI44" s="33"/>
      <c r="AJ44" s="36"/>
      <c r="AK44" s="89"/>
      <c r="AL44" s="32"/>
      <c r="AM44" s="33"/>
      <c r="AN44" s="36"/>
      <c r="AO44" s="89"/>
      <c r="AP44" s="32"/>
      <c r="AQ44" s="33"/>
      <c r="AR44" s="36"/>
      <c r="AS44" s="89"/>
      <c r="AT44" s="37">
        <f t="shared" si="3"/>
        <v>290944</v>
      </c>
      <c r="AU44" s="38">
        <f t="shared" si="4"/>
        <v>84841</v>
      </c>
    </row>
    <row r="45" spans="2:47" s="26" customFormat="1" ht="22.5" x14ac:dyDescent="0.25">
      <c r="B45" s="27">
        <v>31</v>
      </c>
      <c r="C45" s="27" t="s">
        <v>39</v>
      </c>
      <c r="D45" s="28">
        <v>30463876</v>
      </c>
      <c r="E45" s="29" t="s">
        <v>100</v>
      </c>
      <c r="F45" s="29" t="s">
        <v>54</v>
      </c>
      <c r="G45" s="30" t="s">
        <v>55</v>
      </c>
      <c r="H45" s="42" t="s">
        <v>101</v>
      </c>
      <c r="I45" s="88" t="s">
        <v>57</v>
      </c>
      <c r="J45" s="31">
        <v>174915</v>
      </c>
      <c r="K45" s="31">
        <v>156626</v>
      </c>
      <c r="L45" s="31">
        <v>0</v>
      </c>
      <c r="M45" s="31">
        <v>0</v>
      </c>
      <c r="N45" s="31">
        <v>32</v>
      </c>
      <c r="O45" s="31">
        <v>1179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0"/>
        <v>1211</v>
      </c>
      <c r="Z45" s="32">
        <v>18000</v>
      </c>
      <c r="AA45" s="33">
        <v>5</v>
      </c>
      <c r="AB45" s="34">
        <v>44216</v>
      </c>
      <c r="AC45" s="89">
        <v>44225</v>
      </c>
      <c r="AD45" s="32">
        <v>0</v>
      </c>
      <c r="AE45" s="35"/>
      <c r="AF45" s="36"/>
      <c r="AG45" s="89"/>
      <c r="AH45" s="32"/>
      <c r="AI45" s="33"/>
      <c r="AJ45" s="36"/>
      <c r="AK45" s="89"/>
      <c r="AL45" s="32"/>
      <c r="AM45" s="33"/>
      <c r="AN45" s="36"/>
      <c r="AO45" s="89"/>
      <c r="AP45" s="32"/>
      <c r="AQ45" s="33"/>
      <c r="AR45" s="36"/>
      <c r="AS45" s="89"/>
      <c r="AT45" s="37">
        <f t="shared" si="3"/>
        <v>18000</v>
      </c>
      <c r="AU45" s="38">
        <f t="shared" si="4"/>
        <v>16789</v>
      </c>
    </row>
    <row r="46" spans="2:47" s="26" customFormat="1" ht="22.5" x14ac:dyDescent="0.25">
      <c r="B46" s="27">
        <v>32</v>
      </c>
      <c r="C46" s="27" t="s">
        <v>39</v>
      </c>
      <c r="D46" s="28">
        <v>40003934</v>
      </c>
      <c r="E46" s="29" t="s">
        <v>102</v>
      </c>
      <c r="F46" s="29" t="s">
        <v>54</v>
      </c>
      <c r="G46" s="30" t="s">
        <v>55</v>
      </c>
      <c r="H46" s="42" t="s">
        <v>66</v>
      </c>
      <c r="I46" s="88" t="s">
        <v>72</v>
      </c>
      <c r="J46" s="31">
        <v>1098504</v>
      </c>
      <c r="K46" s="31">
        <v>0</v>
      </c>
      <c r="L46" s="31">
        <v>292492</v>
      </c>
      <c r="M46" s="31">
        <v>0</v>
      </c>
      <c r="N46" s="31">
        <v>4400</v>
      </c>
      <c r="O46" s="31">
        <v>2200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0"/>
        <v>6600</v>
      </c>
      <c r="Z46" s="32">
        <v>710000</v>
      </c>
      <c r="AA46" s="33">
        <v>5</v>
      </c>
      <c r="AB46" s="34">
        <v>44216</v>
      </c>
      <c r="AC46" s="89">
        <v>44225</v>
      </c>
      <c r="AD46" s="32">
        <v>0</v>
      </c>
      <c r="AE46" s="35"/>
      <c r="AF46" s="36"/>
      <c r="AG46" s="89"/>
      <c r="AH46" s="32"/>
      <c r="AI46" s="33"/>
      <c r="AJ46" s="36"/>
      <c r="AK46" s="89"/>
      <c r="AL46" s="32"/>
      <c r="AM46" s="33"/>
      <c r="AN46" s="36"/>
      <c r="AO46" s="89"/>
      <c r="AP46" s="32"/>
      <c r="AQ46" s="33"/>
      <c r="AR46" s="36"/>
      <c r="AS46" s="89"/>
      <c r="AT46" s="37">
        <f t="shared" si="3"/>
        <v>710000</v>
      </c>
      <c r="AU46" s="38">
        <f t="shared" si="4"/>
        <v>703400</v>
      </c>
    </row>
    <row r="47" spans="2:47" s="26" customFormat="1" ht="22.5" x14ac:dyDescent="0.25">
      <c r="B47" s="27">
        <v>33</v>
      </c>
      <c r="C47" s="27" t="s">
        <v>39</v>
      </c>
      <c r="D47" s="28">
        <v>30124516</v>
      </c>
      <c r="E47" s="29" t="s">
        <v>103</v>
      </c>
      <c r="F47" s="29" t="s">
        <v>54</v>
      </c>
      <c r="G47" s="30" t="s">
        <v>55</v>
      </c>
      <c r="H47" s="42" t="s">
        <v>86</v>
      </c>
      <c r="I47" s="88" t="s">
        <v>57</v>
      </c>
      <c r="J47" s="31">
        <v>745587</v>
      </c>
      <c r="K47" s="31">
        <v>534592</v>
      </c>
      <c r="L47" s="31">
        <v>0</v>
      </c>
      <c r="M47" s="31">
        <v>0</v>
      </c>
      <c r="N47" s="31">
        <v>125946</v>
      </c>
      <c r="O47" s="31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0"/>
        <v>125946</v>
      </c>
      <c r="Z47" s="32">
        <v>209946</v>
      </c>
      <c r="AA47" s="33">
        <v>5</v>
      </c>
      <c r="AB47" s="34">
        <v>44216</v>
      </c>
      <c r="AC47" s="89">
        <v>44225</v>
      </c>
      <c r="AD47" s="32">
        <v>0</v>
      </c>
      <c r="AE47" s="35"/>
      <c r="AF47" s="36"/>
      <c r="AG47" s="89"/>
      <c r="AH47" s="32"/>
      <c r="AI47" s="33"/>
      <c r="AJ47" s="36"/>
      <c r="AK47" s="89"/>
      <c r="AL47" s="32"/>
      <c r="AM47" s="33"/>
      <c r="AN47" s="36"/>
      <c r="AO47" s="89"/>
      <c r="AP47" s="32"/>
      <c r="AQ47" s="33"/>
      <c r="AR47" s="36"/>
      <c r="AS47" s="89"/>
      <c r="AT47" s="37">
        <f t="shared" si="3"/>
        <v>209946</v>
      </c>
      <c r="AU47" s="38">
        <f t="shared" si="4"/>
        <v>84000</v>
      </c>
    </row>
    <row r="48" spans="2:47" s="26" customFormat="1" ht="22.5" x14ac:dyDescent="0.25">
      <c r="B48" s="27">
        <v>34</v>
      </c>
      <c r="C48" s="27" t="s">
        <v>39</v>
      </c>
      <c r="D48" s="28">
        <v>30401272</v>
      </c>
      <c r="E48" s="29" t="s">
        <v>104</v>
      </c>
      <c r="F48" s="29" t="s">
        <v>54</v>
      </c>
      <c r="G48" s="30" t="s">
        <v>55</v>
      </c>
      <c r="H48" s="42" t="s">
        <v>68</v>
      </c>
      <c r="I48" s="88" t="s">
        <v>57</v>
      </c>
      <c r="J48" s="31">
        <v>63184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si="0"/>
        <v>0</v>
      </c>
      <c r="Z48" s="32">
        <v>63184</v>
      </c>
      <c r="AA48" s="33">
        <v>5</v>
      </c>
      <c r="AB48" s="34">
        <v>44216</v>
      </c>
      <c r="AC48" s="89">
        <v>44225</v>
      </c>
      <c r="AD48" s="32">
        <v>0</v>
      </c>
      <c r="AE48" s="35"/>
      <c r="AF48" s="36"/>
      <c r="AG48" s="89"/>
      <c r="AH48" s="32"/>
      <c r="AI48" s="33"/>
      <c r="AJ48" s="36"/>
      <c r="AK48" s="89"/>
      <c r="AL48" s="32"/>
      <c r="AM48" s="33"/>
      <c r="AN48" s="36"/>
      <c r="AO48" s="89"/>
      <c r="AP48" s="32"/>
      <c r="AQ48" s="33"/>
      <c r="AR48" s="36"/>
      <c r="AS48" s="89"/>
      <c r="AT48" s="37">
        <f t="shared" si="3"/>
        <v>63184</v>
      </c>
      <c r="AU48" s="38">
        <f t="shared" si="4"/>
        <v>63184</v>
      </c>
    </row>
    <row r="49" spans="2:47" s="26" customFormat="1" x14ac:dyDescent="0.25">
      <c r="B49" s="27">
        <v>35</v>
      </c>
      <c r="C49" s="27" t="s">
        <v>39</v>
      </c>
      <c r="D49" s="28">
        <v>40004719</v>
      </c>
      <c r="E49" s="29" t="s">
        <v>105</v>
      </c>
      <c r="F49" s="29" t="s">
        <v>54</v>
      </c>
      <c r="G49" s="30" t="s">
        <v>55</v>
      </c>
      <c r="H49" s="42" t="s">
        <v>56</v>
      </c>
      <c r="I49" s="88" t="s">
        <v>57</v>
      </c>
      <c r="J49" s="31">
        <v>6363325</v>
      </c>
      <c r="K49" s="31">
        <v>1062086</v>
      </c>
      <c r="L49" s="31">
        <v>0</v>
      </c>
      <c r="M49" s="31">
        <v>0</v>
      </c>
      <c r="N49" s="31">
        <v>121721</v>
      </c>
      <c r="O49" s="31">
        <v>279111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0"/>
        <v>400832</v>
      </c>
      <c r="Z49" s="32">
        <v>3020000</v>
      </c>
      <c r="AA49" s="33">
        <v>5</v>
      </c>
      <c r="AB49" s="34">
        <v>44216</v>
      </c>
      <c r="AC49" s="89">
        <v>44225</v>
      </c>
      <c r="AD49" s="32">
        <v>0</v>
      </c>
      <c r="AE49" s="35"/>
      <c r="AF49" s="36"/>
      <c r="AG49" s="89"/>
      <c r="AH49" s="32"/>
      <c r="AI49" s="33"/>
      <c r="AJ49" s="36"/>
      <c r="AK49" s="89"/>
      <c r="AL49" s="32"/>
      <c r="AM49" s="33"/>
      <c r="AN49" s="36"/>
      <c r="AO49" s="89"/>
      <c r="AP49" s="32"/>
      <c r="AQ49" s="33"/>
      <c r="AR49" s="36"/>
      <c r="AS49" s="89"/>
      <c r="AT49" s="37">
        <f t="shared" si="3"/>
        <v>3020000</v>
      </c>
      <c r="AU49" s="38">
        <f t="shared" si="4"/>
        <v>2619168</v>
      </c>
    </row>
    <row r="50" spans="2:47" s="26" customFormat="1" x14ac:dyDescent="0.25">
      <c r="B50" s="27">
        <v>36</v>
      </c>
      <c r="C50" s="27" t="s">
        <v>39</v>
      </c>
      <c r="D50" s="28">
        <v>40002451</v>
      </c>
      <c r="E50" s="29" t="s">
        <v>106</v>
      </c>
      <c r="F50" s="29" t="s">
        <v>54</v>
      </c>
      <c r="G50" s="30" t="s">
        <v>55</v>
      </c>
      <c r="H50" s="42" t="s">
        <v>56</v>
      </c>
      <c r="I50" s="88" t="s">
        <v>57</v>
      </c>
      <c r="J50" s="31">
        <v>268565</v>
      </c>
      <c r="K50" s="31">
        <v>104858</v>
      </c>
      <c r="L50" s="31">
        <v>0</v>
      </c>
      <c r="M50" s="31">
        <v>0</v>
      </c>
      <c r="N50" s="31">
        <v>38048</v>
      </c>
      <c r="O50" s="31">
        <v>77188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0"/>
        <v>115236</v>
      </c>
      <c r="Z50" s="32">
        <v>163707</v>
      </c>
      <c r="AA50" s="33">
        <v>5</v>
      </c>
      <c r="AB50" s="34">
        <v>44216</v>
      </c>
      <c r="AC50" s="89">
        <v>44225</v>
      </c>
      <c r="AD50" s="32">
        <v>0</v>
      </c>
      <c r="AE50" s="35"/>
      <c r="AF50" s="36"/>
      <c r="AG50" s="89"/>
      <c r="AH50" s="32"/>
      <c r="AI50" s="33"/>
      <c r="AJ50" s="36"/>
      <c r="AK50" s="89"/>
      <c r="AL50" s="32"/>
      <c r="AM50" s="33"/>
      <c r="AN50" s="36"/>
      <c r="AO50" s="89"/>
      <c r="AP50" s="32"/>
      <c r="AQ50" s="33"/>
      <c r="AR50" s="36"/>
      <c r="AS50" s="89"/>
      <c r="AT50" s="37">
        <f t="shared" si="3"/>
        <v>163707</v>
      </c>
      <c r="AU50" s="38">
        <f t="shared" si="4"/>
        <v>48471</v>
      </c>
    </row>
    <row r="51" spans="2:47" s="26" customFormat="1" ht="22.5" x14ac:dyDescent="0.25">
      <c r="B51" s="27">
        <v>37</v>
      </c>
      <c r="C51" s="27" t="s">
        <v>39</v>
      </c>
      <c r="D51" s="28">
        <v>40009168</v>
      </c>
      <c r="E51" s="29" t="s">
        <v>107</v>
      </c>
      <c r="F51" s="29" t="s">
        <v>54</v>
      </c>
      <c r="G51" s="30" t="s">
        <v>55</v>
      </c>
      <c r="H51" s="42" t="s">
        <v>89</v>
      </c>
      <c r="I51" s="88" t="s">
        <v>72</v>
      </c>
      <c r="J51" s="31">
        <v>588580</v>
      </c>
      <c r="K51" s="31">
        <v>0</v>
      </c>
      <c r="L51" s="31">
        <v>6104</v>
      </c>
      <c r="M51" s="31">
        <v>0</v>
      </c>
      <c r="N51" s="31">
        <v>0</v>
      </c>
      <c r="O51" s="31">
        <v>0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0"/>
        <v>0</v>
      </c>
      <c r="Z51" s="32">
        <v>50000</v>
      </c>
      <c r="AA51" s="33">
        <v>5</v>
      </c>
      <c r="AB51" s="34">
        <v>44216</v>
      </c>
      <c r="AC51" s="89">
        <v>44225</v>
      </c>
      <c r="AD51" s="32">
        <v>0</v>
      </c>
      <c r="AE51" s="35"/>
      <c r="AF51" s="36"/>
      <c r="AG51" s="89"/>
      <c r="AH51" s="32"/>
      <c r="AI51" s="33"/>
      <c r="AJ51" s="36"/>
      <c r="AK51" s="89"/>
      <c r="AL51" s="32"/>
      <c r="AM51" s="33"/>
      <c r="AN51" s="36"/>
      <c r="AO51" s="89"/>
      <c r="AP51" s="32"/>
      <c r="AQ51" s="33"/>
      <c r="AR51" s="36"/>
      <c r="AS51" s="89"/>
      <c r="AT51" s="37">
        <f t="shared" si="3"/>
        <v>50000</v>
      </c>
      <c r="AU51" s="38">
        <f t="shared" si="4"/>
        <v>50000</v>
      </c>
    </row>
    <row r="52" spans="2:47" s="26" customFormat="1" ht="22.5" x14ac:dyDescent="0.25">
      <c r="B52" s="27">
        <v>38</v>
      </c>
      <c r="C52" s="27" t="s">
        <v>39</v>
      </c>
      <c r="D52" s="28">
        <v>40009169</v>
      </c>
      <c r="E52" s="29" t="s">
        <v>108</v>
      </c>
      <c r="F52" s="29" t="s">
        <v>54</v>
      </c>
      <c r="G52" s="30" t="s">
        <v>55</v>
      </c>
      <c r="H52" s="42" t="s">
        <v>89</v>
      </c>
      <c r="I52" s="88" t="s">
        <v>72</v>
      </c>
      <c r="J52" s="31">
        <v>732383</v>
      </c>
      <c r="K52" s="31"/>
      <c r="L52" s="31">
        <v>978</v>
      </c>
      <c r="M52" s="31">
        <v>0</v>
      </c>
      <c r="N52" s="31">
        <v>0</v>
      </c>
      <c r="O52" s="31">
        <v>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0"/>
        <v>0</v>
      </c>
      <c r="Z52" s="32">
        <v>50000</v>
      </c>
      <c r="AA52" s="33">
        <v>5</v>
      </c>
      <c r="AB52" s="34">
        <v>44216</v>
      </c>
      <c r="AC52" s="89">
        <v>44225</v>
      </c>
      <c r="AD52" s="32">
        <v>0</v>
      </c>
      <c r="AE52" s="35"/>
      <c r="AF52" s="36"/>
      <c r="AG52" s="89"/>
      <c r="AH52" s="32"/>
      <c r="AI52" s="33"/>
      <c r="AJ52" s="36"/>
      <c r="AK52" s="89"/>
      <c r="AL52" s="32"/>
      <c r="AM52" s="33"/>
      <c r="AN52" s="36"/>
      <c r="AO52" s="89"/>
      <c r="AP52" s="32"/>
      <c r="AQ52" s="33"/>
      <c r="AR52" s="36"/>
      <c r="AS52" s="89"/>
      <c r="AT52" s="37">
        <f t="shared" si="3"/>
        <v>50000</v>
      </c>
      <c r="AU52" s="38">
        <f t="shared" si="4"/>
        <v>50000</v>
      </c>
    </row>
    <row r="53" spans="2:47" s="26" customFormat="1" ht="22.5" x14ac:dyDescent="0.25">
      <c r="B53" s="27">
        <v>39</v>
      </c>
      <c r="C53" s="27" t="s">
        <v>39</v>
      </c>
      <c r="D53" s="28">
        <v>30353376</v>
      </c>
      <c r="E53" s="29" t="s">
        <v>109</v>
      </c>
      <c r="F53" s="29" t="s">
        <v>54</v>
      </c>
      <c r="G53" s="30" t="s">
        <v>55</v>
      </c>
      <c r="H53" s="42" t="s">
        <v>62</v>
      </c>
      <c r="I53" s="88" t="s">
        <v>57</v>
      </c>
      <c r="J53" s="31">
        <v>3672975</v>
      </c>
      <c r="K53" s="31">
        <v>3393510</v>
      </c>
      <c r="L53" s="31">
        <v>0</v>
      </c>
      <c r="M53" s="31">
        <v>0</v>
      </c>
      <c r="N53" s="31">
        <v>0</v>
      </c>
      <c r="O53" s="31"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0"/>
        <v>0</v>
      </c>
      <c r="Z53" s="32">
        <v>270000</v>
      </c>
      <c r="AA53" s="33">
        <v>5</v>
      </c>
      <c r="AB53" s="34">
        <v>44216</v>
      </c>
      <c r="AC53" s="89">
        <v>44225</v>
      </c>
      <c r="AD53" s="32">
        <v>0</v>
      </c>
      <c r="AE53" s="35"/>
      <c r="AF53" s="36"/>
      <c r="AG53" s="89"/>
      <c r="AH53" s="32"/>
      <c r="AI53" s="33"/>
      <c r="AJ53" s="36"/>
      <c r="AK53" s="89"/>
      <c r="AL53" s="32"/>
      <c r="AM53" s="33"/>
      <c r="AN53" s="36"/>
      <c r="AO53" s="89"/>
      <c r="AP53" s="32"/>
      <c r="AQ53" s="33"/>
      <c r="AR53" s="36"/>
      <c r="AS53" s="89"/>
      <c r="AT53" s="37">
        <f t="shared" si="3"/>
        <v>270000</v>
      </c>
      <c r="AU53" s="38">
        <f t="shared" si="4"/>
        <v>270000</v>
      </c>
    </row>
    <row r="54" spans="2:47" s="26" customFormat="1" ht="22.5" x14ac:dyDescent="0.25">
      <c r="B54" s="27">
        <v>40</v>
      </c>
      <c r="C54" s="27" t="s">
        <v>39</v>
      </c>
      <c r="D54" s="28">
        <v>30352974</v>
      </c>
      <c r="E54" s="29" t="s">
        <v>110</v>
      </c>
      <c r="F54" s="29" t="s">
        <v>54</v>
      </c>
      <c r="G54" s="30" t="s">
        <v>55</v>
      </c>
      <c r="H54" s="42" t="s">
        <v>62</v>
      </c>
      <c r="I54" s="88" t="s">
        <v>57</v>
      </c>
      <c r="J54" s="31">
        <v>7371957</v>
      </c>
      <c r="K54" s="31">
        <v>6627529</v>
      </c>
      <c r="L54" s="31">
        <v>4601</v>
      </c>
      <c r="M54" s="31">
        <v>0</v>
      </c>
      <c r="N54" s="31">
        <v>223085</v>
      </c>
      <c r="O54" s="31"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0"/>
        <v>223085</v>
      </c>
      <c r="Z54" s="32">
        <v>250000</v>
      </c>
      <c r="AA54" s="33">
        <v>5</v>
      </c>
      <c r="AB54" s="34">
        <v>44216</v>
      </c>
      <c r="AC54" s="89">
        <v>44225</v>
      </c>
      <c r="AD54" s="32">
        <v>0</v>
      </c>
      <c r="AE54" s="35"/>
      <c r="AF54" s="36"/>
      <c r="AG54" s="89"/>
      <c r="AH54" s="32"/>
      <c r="AI54" s="33"/>
      <c r="AJ54" s="36"/>
      <c r="AK54" s="89"/>
      <c r="AL54" s="32"/>
      <c r="AM54" s="33"/>
      <c r="AN54" s="36"/>
      <c r="AO54" s="89"/>
      <c r="AP54" s="32"/>
      <c r="AQ54" s="33"/>
      <c r="AR54" s="36"/>
      <c r="AS54" s="89"/>
      <c r="AT54" s="37">
        <f t="shared" si="3"/>
        <v>250000</v>
      </c>
      <c r="AU54" s="38">
        <f t="shared" si="4"/>
        <v>26915</v>
      </c>
    </row>
    <row r="55" spans="2:47" s="26" customFormat="1" ht="22.5" x14ac:dyDescent="0.25">
      <c r="B55" s="27">
        <v>41</v>
      </c>
      <c r="C55" s="27" t="s">
        <v>39</v>
      </c>
      <c r="D55" s="28">
        <v>30353373</v>
      </c>
      <c r="E55" s="29" t="s">
        <v>111</v>
      </c>
      <c r="F55" s="29" t="s">
        <v>54</v>
      </c>
      <c r="G55" s="30" t="s">
        <v>55</v>
      </c>
      <c r="H55" s="42" t="s">
        <v>62</v>
      </c>
      <c r="I55" s="88" t="s">
        <v>57</v>
      </c>
      <c r="J55" s="31">
        <v>2164711</v>
      </c>
      <c r="K55" s="31">
        <v>1757388</v>
      </c>
      <c r="L55" s="31">
        <v>1643</v>
      </c>
      <c r="M55" s="31">
        <v>0</v>
      </c>
      <c r="N55" s="31">
        <v>0</v>
      </c>
      <c r="O55" s="31">
        <v>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0"/>
        <v>0</v>
      </c>
      <c r="Z55" s="32">
        <v>330000</v>
      </c>
      <c r="AA55" s="33">
        <v>5</v>
      </c>
      <c r="AB55" s="34">
        <v>44216</v>
      </c>
      <c r="AC55" s="89">
        <v>44225</v>
      </c>
      <c r="AD55" s="32">
        <v>0</v>
      </c>
      <c r="AE55" s="35"/>
      <c r="AF55" s="36"/>
      <c r="AG55" s="89"/>
      <c r="AH55" s="32"/>
      <c r="AI55" s="33"/>
      <c r="AJ55" s="36"/>
      <c r="AK55" s="89"/>
      <c r="AL55" s="32"/>
      <c r="AM55" s="33"/>
      <c r="AN55" s="36"/>
      <c r="AO55" s="89"/>
      <c r="AP55" s="32"/>
      <c r="AQ55" s="33"/>
      <c r="AR55" s="36"/>
      <c r="AS55" s="89"/>
      <c r="AT55" s="37">
        <f t="shared" si="3"/>
        <v>330000</v>
      </c>
      <c r="AU55" s="38">
        <f t="shared" si="4"/>
        <v>330000</v>
      </c>
    </row>
    <row r="56" spans="2:47" s="26" customFormat="1" ht="22.5" x14ac:dyDescent="0.25">
      <c r="B56" s="27">
        <v>42</v>
      </c>
      <c r="C56" s="27" t="s">
        <v>39</v>
      </c>
      <c r="D56" s="28">
        <v>30062899</v>
      </c>
      <c r="E56" s="29" t="s">
        <v>112</v>
      </c>
      <c r="F56" s="29" t="s">
        <v>60</v>
      </c>
      <c r="G56" s="30" t="s">
        <v>55</v>
      </c>
      <c r="H56" s="42" t="s">
        <v>101</v>
      </c>
      <c r="I56" s="88" t="s">
        <v>57</v>
      </c>
      <c r="J56" s="31">
        <v>329433</v>
      </c>
      <c r="K56" s="31">
        <v>133158</v>
      </c>
      <c r="L56" s="31">
        <v>1</v>
      </c>
      <c r="M56" s="31">
        <v>0</v>
      </c>
      <c r="N56" s="31">
        <v>0</v>
      </c>
      <c r="O56" s="31"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0"/>
        <v>0</v>
      </c>
      <c r="Z56" s="32">
        <v>154062</v>
      </c>
      <c r="AA56" s="33">
        <v>5</v>
      </c>
      <c r="AB56" s="34">
        <v>44216</v>
      </c>
      <c r="AC56" s="89">
        <v>44225</v>
      </c>
      <c r="AD56" s="32">
        <v>0</v>
      </c>
      <c r="AE56" s="35"/>
      <c r="AF56" s="36"/>
      <c r="AG56" s="89"/>
      <c r="AH56" s="32"/>
      <c r="AI56" s="33"/>
      <c r="AJ56" s="36"/>
      <c r="AK56" s="89"/>
      <c r="AL56" s="32"/>
      <c r="AM56" s="33"/>
      <c r="AN56" s="36"/>
      <c r="AO56" s="89"/>
      <c r="AP56" s="32"/>
      <c r="AQ56" s="33"/>
      <c r="AR56" s="36"/>
      <c r="AS56" s="89"/>
      <c r="AT56" s="37">
        <f t="shared" si="3"/>
        <v>154062</v>
      </c>
      <c r="AU56" s="38">
        <f t="shared" si="4"/>
        <v>154062</v>
      </c>
    </row>
    <row r="57" spans="2:47" s="26" customFormat="1" ht="22.5" x14ac:dyDescent="0.25">
      <c r="B57" s="27">
        <v>43</v>
      </c>
      <c r="C57" s="27" t="s">
        <v>39</v>
      </c>
      <c r="D57" s="28">
        <v>40000983</v>
      </c>
      <c r="E57" s="29" t="s">
        <v>113</v>
      </c>
      <c r="F57" s="29" t="s">
        <v>54</v>
      </c>
      <c r="G57" s="30" t="s">
        <v>55</v>
      </c>
      <c r="H57" s="42" t="s">
        <v>82</v>
      </c>
      <c r="I57" s="88" t="s">
        <v>72</v>
      </c>
      <c r="J57" s="31">
        <v>1340215</v>
      </c>
      <c r="K57" s="31">
        <v>0</v>
      </c>
      <c r="L57" s="31">
        <v>54133</v>
      </c>
      <c r="M57" s="31">
        <v>0</v>
      </c>
      <c r="N57" s="31">
        <v>0</v>
      </c>
      <c r="O57" s="31">
        <v>0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0"/>
        <v>0</v>
      </c>
      <c r="Z57" s="32">
        <v>1008000</v>
      </c>
      <c r="AA57" s="33">
        <v>5</v>
      </c>
      <c r="AB57" s="34">
        <v>44216</v>
      </c>
      <c r="AC57" s="89">
        <v>44225</v>
      </c>
      <c r="AD57" s="32">
        <v>0</v>
      </c>
      <c r="AE57" s="35"/>
      <c r="AF57" s="36"/>
      <c r="AG57" s="89"/>
      <c r="AH57" s="32"/>
      <c r="AI57" s="33"/>
      <c r="AJ57" s="36"/>
      <c r="AK57" s="89"/>
      <c r="AL57" s="32"/>
      <c r="AM57" s="33"/>
      <c r="AN57" s="36"/>
      <c r="AO57" s="89"/>
      <c r="AP57" s="32"/>
      <c r="AQ57" s="33"/>
      <c r="AR57" s="36"/>
      <c r="AS57" s="89"/>
      <c r="AT57" s="37">
        <f t="shared" si="3"/>
        <v>1008000</v>
      </c>
      <c r="AU57" s="38">
        <f t="shared" si="4"/>
        <v>1008000</v>
      </c>
    </row>
    <row r="58" spans="2:47" s="26" customFormat="1" ht="22.5" x14ac:dyDescent="0.25">
      <c r="B58" s="27">
        <v>44</v>
      </c>
      <c r="C58" s="27" t="s">
        <v>39</v>
      </c>
      <c r="D58" s="28">
        <v>40004902</v>
      </c>
      <c r="E58" s="29" t="s">
        <v>114</v>
      </c>
      <c r="F58" s="29" t="s">
        <v>54</v>
      </c>
      <c r="G58" s="30" t="s">
        <v>55</v>
      </c>
      <c r="H58" s="42" t="s">
        <v>82</v>
      </c>
      <c r="I58" s="88" t="s">
        <v>72</v>
      </c>
      <c r="J58" s="31">
        <v>1392160</v>
      </c>
      <c r="K58" s="31">
        <v>0</v>
      </c>
      <c r="L58" s="31">
        <v>208134</v>
      </c>
      <c r="M58" s="31">
        <v>0</v>
      </c>
      <c r="N58" s="31">
        <v>0</v>
      </c>
      <c r="O58" s="31">
        <v>0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0"/>
        <v>0</v>
      </c>
      <c r="Z58" s="32">
        <v>1010000</v>
      </c>
      <c r="AA58" s="33">
        <v>5</v>
      </c>
      <c r="AB58" s="34">
        <v>44216</v>
      </c>
      <c r="AC58" s="89">
        <v>44225</v>
      </c>
      <c r="AD58" s="32">
        <v>0</v>
      </c>
      <c r="AE58" s="35"/>
      <c r="AF58" s="36"/>
      <c r="AG58" s="89"/>
      <c r="AH58" s="32"/>
      <c r="AI58" s="33"/>
      <c r="AJ58" s="36"/>
      <c r="AK58" s="89"/>
      <c r="AL58" s="32"/>
      <c r="AM58" s="33"/>
      <c r="AN58" s="36"/>
      <c r="AO58" s="89"/>
      <c r="AP58" s="32"/>
      <c r="AQ58" s="33"/>
      <c r="AR58" s="36"/>
      <c r="AS58" s="89"/>
      <c r="AT58" s="37">
        <f t="shared" si="3"/>
        <v>1010000</v>
      </c>
      <c r="AU58" s="38">
        <f t="shared" si="4"/>
        <v>1010000</v>
      </c>
    </row>
    <row r="59" spans="2:47" s="26" customFormat="1" ht="22.5" x14ac:dyDescent="0.25">
      <c r="B59" s="27">
        <v>45</v>
      </c>
      <c r="C59" s="27" t="s">
        <v>39</v>
      </c>
      <c r="D59" s="28">
        <v>40001149</v>
      </c>
      <c r="E59" s="29" t="s">
        <v>115</v>
      </c>
      <c r="F59" s="29" t="s">
        <v>54</v>
      </c>
      <c r="G59" s="30" t="s">
        <v>55</v>
      </c>
      <c r="H59" s="42" t="s">
        <v>64</v>
      </c>
      <c r="I59" s="88" t="s">
        <v>57</v>
      </c>
      <c r="J59" s="31">
        <v>387875</v>
      </c>
      <c r="K59" s="31">
        <v>167527</v>
      </c>
      <c r="L59" s="31">
        <v>0</v>
      </c>
      <c r="M59" s="31">
        <v>0</v>
      </c>
      <c r="N59" s="31">
        <v>104999</v>
      </c>
      <c r="O59" s="31">
        <v>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0"/>
        <v>104999</v>
      </c>
      <c r="Z59" s="32">
        <v>220348</v>
      </c>
      <c r="AA59" s="33">
        <v>5</v>
      </c>
      <c r="AB59" s="34">
        <v>44216</v>
      </c>
      <c r="AC59" s="89">
        <v>44225</v>
      </c>
      <c r="AD59" s="32">
        <v>0</v>
      </c>
      <c r="AE59" s="35"/>
      <c r="AF59" s="36"/>
      <c r="AG59" s="89"/>
      <c r="AH59" s="32"/>
      <c r="AI59" s="33"/>
      <c r="AJ59" s="36"/>
      <c r="AK59" s="89"/>
      <c r="AL59" s="32"/>
      <c r="AM59" s="33"/>
      <c r="AN59" s="36"/>
      <c r="AO59" s="89"/>
      <c r="AP59" s="32"/>
      <c r="AQ59" s="33"/>
      <c r="AR59" s="36"/>
      <c r="AS59" s="89"/>
      <c r="AT59" s="37">
        <f t="shared" si="3"/>
        <v>220348</v>
      </c>
      <c r="AU59" s="38">
        <f t="shared" si="4"/>
        <v>115349</v>
      </c>
    </row>
    <row r="60" spans="2:47" s="26" customFormat="1" ht="22.5" x14ac:dyDescent="0.25">
      <c r="B60" s="27">
        <v>46</v>
      </c>
      <c r="C60" s="27" t="s">
        <v>39</v>
      </c>
      <c r="D60" s="28">
        <v>30264679</v>
      </c>
      <c r="E60" s="29" t="s">
        <v>116</v>
      </c>
      <c r="F60" s="29" t="s">
        <v>54</v>
      </c>
      <c r="G60" s="30" t="s">
        <v>55</v>
      </c>
      <c r="H60" s="42" t="s">
        <v>64</v>
      </c>
      <c r="I60" s="88" t="s">
        <v>57</v>
      </c>
      <c r="J60" s="31">
        <v>407324</v>
      </c>
      <c r="K60" s="31">
        <v>0</v>
      </c>
      <c r="L60" s="31">
        <v>0</v>
      </c>
      <c r="M60" s="31">
        <v>0</v>
      </c>
      <c r="N60" s="31">
        <v>59643</v>
      </c>
      <c r="O60" s="31">
        <v>51619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0"/>
        <v>111262</v>
      </c>
      <c r="Z60" s="32">
        <v>214771</v>
      </c>
      <c r="AA60" s="33">
        <v>5</v>
      </c>
      <c r="AB60" s="34">
        <v>44216</v>
      </c>
      <c r="AC60" s="89">
        <v>44225</v>
      </c>
      <c r="AD60" s="32">
        <v>0</v>
      </c>
      <c r="AE60" s="35"/>
      <c r="AF60" s="36"/>
      <c r="AG60" s="89"/>
      <c r="AH60" s="32"/>
      <c r="AI60" s="33"/>
      <c r="AJ60" s="36"/>
      <c r="AK60" s="89"/>
      <c r="AL60" s="32"/>
      <c r="AM60" s="33"/>
      <c r="AN60" s="36"/>
      <c r="AO60" s="89"/>
      <c r="AP60" s="32"/>
      <c r="AQ60" s="33"/>
      <c r="AR60" s="36"/>
      <c r="AS60" s="89"/>
      <c r="AT60" s="37">
        <f t="shared" si="3"/>
        <v>214771</v>
      </c>
      <c r="AU60" s="38">
        <f t="shared" si="4"/>
        <v>103509</v>
      </c>
    </row>
    <row r="61" spans="2:47" s="26" customFormat="1" x14ac:dyDescent="0.25">
      <c r="B61" s="27">
        <v>47</v>
      </c>
      <c r="C61" s="27" t="s">
        <v>39</v>
      </c>
      <c r="D61" s="28">
        <v>30462874</v>
      </c>
      <c r="E61" s="29" t="s">
        <v>117</v>
      </c>
      <c r="F61" s="29" t="s">
        <v>54</v>
      </c>
      <c r="G61" s="30" t="s">
        <v>55</v>
      </c>
      <c r="H61" s="42" t="s">
        <v>64</v>
      </c>
      <c r="I61" s="88" t="s">
        <v>57</v>
      </c>
      <c r="J61" s="31">
        <v>446906</v>
      </c>
      <c r="K61" s="31">
        <v>108106</v>
      </c>
      <c r="L61" s="31">
        <v>0</v>
      </c>
      <c r="M61" s="31">
        <v>0</v>
      </c>
      <c r="N61" s="31">
        <v>105437</v>
      </c>
      <c r="O61" s="31">
        <v>107963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0"/>
        <v>213400</v>
      </c>
      <c r="Z61" s="32">
        <v>257200</v>
      </c>
      <c r="AA61" s="33">
        <v>5</v>
      </c>
      <c r="AB61" s="34">
        <v>44216</v>
      </c>
      <c r="AC61" s="89">
        <v>44225</v>
      </c>
      <c r="AD61" s="32">
        <v>0</v>
      </c>
      <c r="AE61" s="35"/>
      <c r="AF61" s="36"/>
      <c r="AG61" s="89"/>
      <c r="AH61" s="32"/>
      <c r="AI61" s="33"/>
      <c r="AJ61" s="36"/>
      <c r="AK61" s="89"/>
      <c r="AL61" s="32"/>
      <c r="AM61" s="33"/>
      <c r="AN61" s="36"/>
      <c r="AO61" s="89"/>
      <c r="AP61" s="32"/>
      <c r="AQ61" s="33"/>
      <c r="AR61" s="36"/>
      <c r="AS61" s="89"/>
      <c r="AT61" s="37">
        <f t="shared" si="3"/>
        <v>257200</v>
      </c>
      <c r="AU61" s="38">
        <f t="shared" si="4"/>
        <v>43800</v>
      </c>
    </row>
    <row r="62" spans="2:47" s="26" customFormat="1" ht="22.5" x14ac:dyDescent="0.25">
      <c r="B62" s="27">
        <v>48</v>
      </c>
      <c r="C62" s="27" t="s">
        <v>39</v>
      </c>
      <c r="D62" s="28">
        <v>30462773</v>
      </c>
      <c r="E62" s="29" t="s">
        <v>118</v>
      </c>
      <c r="F62" s="29" t="s">
        <v>54</v>
      </c>
      <c r="G62" s="30" t="s">
        <v>55</v>
      </c>
      <c r="H62" s="42" t="s">
        <v>66</v>
      </c>
      <c r="I62" s="88" t="s">
        <v>72</v>
      </c>
      <c r="J62" s="31">
        <v>257152</v>
      </c>
      <c r="K62" s="31">
        <v>0</v>
      </c>
      <c r="L62" s="31">
        <v>65445</v>
      </c>
      <c r="M62" s="31">
        <v>0</v>
      </c>
      <c r="N62" s="31">
        <v>0</v>
      </c>
      <c r="O62" s="31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0"/>
        <v>0</v>
      </c>
      <c r="Z62" s="32">
        <v>190000</v>
      </c>
      <c r="AA62" s="33">
        <v>5</v>
      </c>
      <c r="AB62" s="34">
        <v>44216</v>
      </c>
      <c r="AC62" s="89">
        <v>44225</v>
      </c>
      <c r="AD62" s="32">
        <v>0</v>
      </c>
      <c r="AE62" s="35"/>
      <c r="AF62" s="36"/>
      <c r="AG62" s="89"/>
      <c r="AH62" s="32"/>
      <c r="AI62" s="33"/>
      <c r="AJ62" s="36"/>
      <c r="AK62" s="89"/>
      <c r="AL62" s="32"/>
      <c r="AM62" s="33"/>
      <c r="AN62" s="36"/>
      <c r="AO62" s="89"/>
      <c r="AP62" s="32"/>
      <c r="AQ62" s="33"/>
      <c r="AR62" s="36"/>
      <c r="AS62" s="89"/>
      <c r="AT62" s="37">
        <f t="shared" si="3"/>
        <v>190000</v>
      </c>
      <c r="AU62" s="38">
        <f t="shared" si="4"/>
        <v>190000</v>
      </c>
    </row>
    <row r="63" spans="2:47" s="26" customFormat="1" ht="22.5" x14ac:dyDescent="0.25">
      <c r="B63" s="27">
        <v>49</v>
      </c>
      <c r="C63" s="27" t="s">
        <v>39</v>
      </c>
      <c r="D63" s="28">
        <v>40009170</v>
      </c>
      <c r="E63" s="29" t="s">
        <v>119</v>
      </c>
      <c r="F63" s="29" t="s">
        <v>54</v>
      </c>
      <c r="G63" s="30" t="s">
        <v>55</v>
      </c>
      <c r="H63" s="42" t="s">
        <v>101</v>
      </c>
      <c r="I63" s="88" t="s">
        <v>72</v>
      </c>
      <c r="J63" s="31">
        <v>797653</v>
      </c>
      <c r="K63" s="31">
        <v>0</v>
      </c>
      <c r="L63" s="31">
        <v>242420</v>
      </c>
      <c r="M63" s="31">
        <v>0</v>
      </c>
      <c r="N63" s="31">
        <v>0</v>
      </c>
      <c r="O63" s="31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0"/>
        <v>0</v>
      </c>
      <c r="Z63" s="32">
        <v>550000</v>
      </c>
      <c r="AA63" s="33">
        <v>5</v>
      </c>
      <c r="AB63" s="34">
        <v>44216</v>
      </c>
      <c r="AC63" s="89">
        <v>44225</v>
      </c>
      <c r="AD63" s="32">
        <v>0</v>
      </c>
      <c r="AE63" s="35"/>
      <c r="AF63" s="36"/>
      <c r="AG63" s="89"/>
      <c r="AH63" s="32"/>
      <c r="AI63" s="33"/>
      <c r="AJ63" s="36"/>
      <c r="AK63" s="89"/>
      <c r="AL63" s="32"/>
      <c r="AM63" s="33"/>
      <c r="AN63" s="36"/>
      <c r="AO63" s="89"/>
      <c r="AP63" s="32"/>
      <c r="AQ63" s="33"/>
      <c r="AR63" s="36"/>
      <c r="AS63" s="89"/>
      <c r="AT63" s="37">
        <f t="shared" si="3"/>
        <v>550000</v>
      </c>
      <c r="AU63" s="38">
        <f t="shared" si="4"/>
        <v>550000</v>
      </c>
    </row>
    <row r="64" spans="2:47" s="26" customFormat="1" ht="22.5" x14ac:dyDescent="0.25">
      <c r="B64" s="27">
        <v>50</v>
      </c>
      <c r="C64" s="27" t="s">
        <v>39</v>
      </c>
      <c r="D64" s="28">
        <v>40012731</v>
      </c>
      <c r="E64" s="29" t="s">
        <v>120</v>
      </c>
      <c r="F64" s="29" t="s">
        <v>54</v>
      </c>
      <c r="G64" s="30" t="s">
        <v>55</v>
      </c>
      <c r="H64" s="42" t="s">
        <v>86</v>
      </c>
      <c r="I64" s="88" t="s">
        <v>72</v>
      </c>
      <c r="J64" s="31">
        <v>1308969</v>
      </c>
      <c r="K64" s="31">
        <v>0</v>
      </c>
      <c r="L64" s="31">
        <v>49023</v>
      </c>
      <c r="M64" s="31">
        <v>0</v>
      </c>
      <c r="N64" s="31">
        <v>119018</v>
      </c>
      <c r="O64" s="31">
        <v>268913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0"/>
        <v>387931</v>
      </c>
      <c r="Z64" s="32">
        <v>800000</v>
      </c>
      <c r="AA64" s="33">
        <v>5</v>
      </c>
      <c r="AB64" s="34">
        <v>44216</v>
      </c>
      <c r="AC64" s="89">
        <v>44225</v>
      </c>
      <c r="AD64" s="32">
        <v>0</v>
      </c>
      <c r="AE64" s="35"/>
      <c r="AF64" s="36"/>
      <c r="AG64" s="89"/>
      <c r="AH64" s="32"/>
      <c r="AI64" s="33"/>
      <c r="AJ64" s="36"/>
      <c r="AK64" s="89"/>
      <c r="AL64" s="32"/>
      <c r="AM64" s="33"/>
      <c r="AN64" s="36"/>
      <c r="AO64" s="89"/>
      <c r="AP64" s="32"/>
      <c r="AQ64" s="33"/>
      <c r="AR64" s="36"/>
      <c r="AS64" s="89"/>
      <c r="AT64" s="37">
        <f t="shared" si="3"/>
        <v>800000</v>
      </c>
      <c r="AU64" s="38">
        <f t="shared" si="4"/>
        <v>412069</v>
      </c>
    </row>
    <row r="65" spans="2:47" s="26" customFormat="1" ht="22.5" x14ac:dyDescent="0.25">
      <c r="B65" s="27">
        <v>51</v>
      </c>
      <c r="C65" s="27" t="s">
        <v>39</v>
      </c>
      <c r="D65" s="28">
        <v>40004904</v>
      </c>
      <c r="E65" s="29" t="s">
        <v>121</v>
      </c>
      <c r="F65" s="29" t="s">
        <v>54</v>
      </c>
      <c r="G65" s="30" t="s">
        <v>55</v>
      </c>
      <c r="H65" s="42" t="s">
        <v>82</v>
      </c>
      <c r="I65" s="88" t="s">
        <v>57</v>
      </c>
      <c r="J65" s="31">
        <v>174623</v>
      </c>
      <c r="K65" s="31">
        <v>0</v>
      </c>
      <c r="L65" s="31">
        <v>0</v>
      </c>
      <c r="M65" s="31">
        <v>0</v>
      </c>
      <c r="N65" s="31">
        <v>88820</v>
      </c>
      <c r="O65" s="31">
        <v>75055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0"/>
        <v>163875</v>
      </c>
      <c r="Z65" s="32">
        <v>154000</v>
      </c>
      <c r="AA65" s="33">
        <v>5</v>
      </c>
      <c r="AB65" s="34">
        <v>44216</v>
      </c>
      <c r="AC65" s="89">
        <v>44225</v>
      </c>
      <c r="AD65" s="32">
        <v>0</v>
      </c>
      <c r="AE65" s="35"/>
      <c r="AF65" s="36"/>
      <c r="AG65" s="89"/>
      <c r="AH65" s="32"/>
      <c r="AI65" s="33"/>
      <c r="AJ65" s="36"/>
      <c r="AK65" s="89"/>
      <c r="AL65" s="32"/>
      <c r="AM65" s="33"/>
      <c r="AN65" s="36"/>
      <c r="AO65" s="89"/>
      <c r="AP65" s="32"/>
      <c r="AQ65" s="33"/>
      <c r="AR65" s="36"/>
      <c r="AS65" s="89"/>
      <c r="AT65" s="37">
        <f t="shared" si="3"/>
        <v>154000</v>
      </c>
      <c r="AU65" s="38">
        <f t="shared" si="4"/>
        <v>-9875</v>
      </c>
    </row>
    <row r="66" spans="2:47" s="26" customFormat="1" ht="22.5" x14ac:dyDescent="0.25">
      <c r="B66" s="27">
        <v>52</v>
      </c>
      <c r="C66" s="27" t="s">
        <v>39</v>
      </c>
      <c r="D66" s="28">
        <v>40004875</v>
      </c>
      <c r="E66" s="29" t="s">
        <v>122</v>
      </c>
      <c r="F66" s="29" t="s">
        <v>54</v>
      </c>
      <c r="G66" s="30" t="s">
        <v>55</v>
      </c>
      <c r="H66" s="42" t="s">
        <v>82</v>
      </c>
      <c r="I66" s="88" t="s">
        <v>57</v>
      </c>
      <c r="J66" s="31">
        <v>126776</v>
      </c>
      <c r="K66" s="31">
        <v>73347</v>
      </c>
      <c r="L66" s="31">
        <v>0</v>
      </c>
      <c r="M66" s="31">
        <v>0</v>
      </c>
      <c r="N66" s="31">
        <v>6393</v>
      </c>
      <c r="O66" s="31"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0"/>
        <v>6393</v>
      </c>
      <c r="Z66" s="32">
        <v>6000</v>
      </c>
      <c r="AA66" s="33">
        <v>5</v>
      </c>
      <c r="AB66" s="34">
        <v>44216</v>
      </c>
      <c r="AC66" s="89">
        <v>44225</v>
      </c>
      <c r="AD66" s="32">
        <v>1150</v>
      </c>
      <c r="AE66" s="35">
        <v>16</v>
      </c>
      <c r="AF66" s="41">
        <v>44253</v>
      </c>
      <c r="AG66" s="89">
        <v>44274</v>
      </c>
      <c r="AH66" s="32"/>
      <c r="AI66" s="33"/>
      <c r="AJ66" s="36"/>
      <c r="AK66" s="89"/>
      <c r="AL66" s="32"/>
      <c r="AM66" s="33"/>
      <c r="AN66" s="36"/>
      <c r="AO66" s="89"/>
      <c r="AP66" s="32"/>
      <c r="AQ66" s="33"/>
      <c r="AR66" s="36"/>
      <c r="AS66" s="89"/>
      <c r="AT66" s="37">
        <f t="shared" si="3"/>
        <v>7150</v>
      </c>
      <c r="AU66" s="38">
        <f t="shared" si="4"/>
        <v>757</v>
      </c>
    </row>
    <row r="67" spans="2:47" s="26" customFormat="1" ht="22.5" x14ac:dyDescent="0.25">
      <c r="B67" s="27">
        <v>53</v>
      </c>
      <c r="C67" s="27" t="s">
        <v>39</v>
      </c>
      <c r="D67" s="28">
        <v>40004064</v>
      </c>
      <c r="E67" s="29" t="s">
        <v>123</v>
      </c>
      <c r="F67" s="29" t="s">
        <v>54</v>
      </c>
      <c r="G67" s="30" t="s">
        <v>55</v>
      </c>
      <c r="H67" s="42" t="s">
        <v>64</v>
      </c>
      <c r="I67" s="88" t="s">
        <v>72</v>
      </c>
      <c r="J67" s="31">
        <v>466599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0"/>
        <v>0</v>
      </c>
      <c r="Z67" s="32">
        <v>428000</v>
      </c>
      <c r="AA67" s="33">
        <v>5</v>
      </c>
      <c r="AB67" s="34">
        <v>44216</v>
      </c>
      <c r="AC67" s="89">
        <v>44225</v>
      </c>
      <c r="AD67" s="32">
        <v>0</v>
      </c>
      <c r="AE67" s="35"/>
      <c r="AF67" s="36"/>
      <c r="AG67" s="89"/>
      <c r="AH67" s="32"/>
      <c r="AI67" s="33"/>
      <c r="AJ67" s="36"/>
      <c r="AK67" s="89"/>
      <c r="AL67" s="32"/>
      <c r="AM67" s="33"/>
      <c r="AN67" s="36"/>
      <c r="AO67" s="89"/>
      <c r="AP67" s="32"/>
      <c r="AQ67" s="33"/>
      <c r="AR67" s="36"/>
      <c r="AS67" s="89"/>
      <c r="AT67" s="37">
        <f t="shared" si="3"/>
        <v>428000</v>
      </c>
      <c r="AU67" s="38">
        <f t="shared" si="4"/>
        <v>428000</v>
      </c>
    </row>
    <row r="68" spans="2:47" s="26" customFormat="1" x14ac:dyDescent="0.25">
      <c r="B68" s="27">
        <v>54</v>
      </c>
      <c r="C68" s="27" t="s">
        <v>39</v>
      </c>
      <c r="D68" s="28">
        <v>30262523</v>
      </c>
      <c r="E68" s="29" t="s">
        <v>124</v>
      </c>
      <c r="F68" s="29" t="s">
        <v>54</v>
      </c>
      <c r="G68" s="30" t="s">
        <v>55</v>
      </c>
      <c r="H68" s="42" t="s">
        <v>56</v>
      </c>
      <c r="I68" s="88" t="s">
        <v>72</v>
      </c>
      <c r="J68" s="31">
        <v>2213030</v>
      </c>
      <c r="K68" s="31">
        <v>0</v>
      </c>
      <c r="L68" s="31">
        <v>231654</v>
      </c>
      <c r="M68" s="31">
        <v>0</v>
      </c>
      <c r="N68" s="31">
        <v>74938</v>
      </c>
      <c r="O68" s="31">
        <v>64308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0"/>
        <v>139246</v>
      </c>
      <c r="Z68" s="32">
        <v>1299172</v>
      </c>
      <c r="AA68" s="33">
        <v>5</v>
      </c>
      <c r="AB68" s="34">
        <v>44216</v>
      </c>
      <c r="AC68" s="89">
        <v>44225</v>
      </c>
      <c r="AD68" s="32">
        <v>0</v>
      </c>
      <c r="AE68" s="35"/>
      <c r="AF68" s="36"/>
      <c r="AG68" s="89"/>
      <c r="AH68" s="32"/>
      <c r="AI68" s="33"/>
      <c r="AJ68" s="36"/>
      <c r="AK68" s="89"/>
      <c r="AL68" s="32"/>
      <c r="AM68" s="33"/>
      <c r="AN68" s="36"/>
      <c r="AO68" s="89"/>
      <c r="AP68" s="32"/>
      <c r="AQ68" s="33"/>
      <c r="AR68" s="36"/>
      <c r="AS68" s="89"/>
      <c r="AT68" s="37">
        <f t="shared" si="3"/>
        <v>1299172</v>
      </c>
      <c r="AU68" s="38">
        <f t="shared" si="4"/>
        <v>1159926</v>
      </c>
    </row>
    <row r="69" spans="2:47" s="26" customFormat="1" ht="22.5" x14ac:dyDescent="0.25">
      <c r="B69" s="27">
        <v>55</v>
      </c>
      <c r="C69" s="27" t="s">
        <v>39</v>
      </c>
      <c r="D69" s="28">
        <v>30462772</v>
      </c>
      <c r="E69" s="29" t="s">
        <v>125</v>
      </c>
      <c r="F69" s="29" t="s">
        <v>54</v>
      </c>
      <c r="G69" s="30" t="s">
        <v>55</v>
      </c>
      <c r="H69" s="42" t="s">
        <v>66</v>
      </c>
      <c r="I69" s="88" t="s">
        <v>72</v>
      </c>
      <c r="J69" s="31">
        <v>249432</v>
      </c>
      <c r="K69" s="31">
        <v>0</v>
      </c>
      <c r="L69" s="31">
        <v>65383</v>
      </c>
      <c r="M69" s="31">
        <v>0</v>
      </c>
      <c r="N69" s="31">
        <v>0</v>
      </c>
      <c r="O69" s="31">
        <v>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0"/>
        <v>0</v>
      </c>
      <c r="Z69" s="32">
        <v>180000</v>
      </c>
      <c r="AA69" s="33">
        <v>5</v>
      </c>
      <c r="AB69" s="34">
        <v>44216</v>
      </c>
      <c r="AC69" s="89">
        <v>44225</v>
      </c>
      <c r="AD69" s="32">
        <v>0</v>
      </c>
      <c r="AE69" s="35"/>
      <c r="AF69" s="36"/>
      <c r="AG69" s="89"/>
      <c r="AH69" s="32"/>
      <c r="AI69" s="33"/>
      <c r="AJ69" s="36"/>
      <c r="AK69" s="89"/>
      <c r="AL69" s="32"/>
      <c r="AM69" s="33"/>
      <c r="AN69" s="36"/>
      <c r="AO69" s="89"/>
      <c r="AP69" s="32"/>
      <c r="AQ69" s="33"/>
      <c r="AR69" s="36"/>
      <c r="AS69" s="89"/>
      <c r="AT69" s="37">
        <f t="shared" si="3"/>
        <v>180000</v>
      </c>
      <c r="AU69" s="38">
        <f t="shared" si="4"/>
        <v>180000</v>
      </c>
    </row>
    <row r="70" spans="2:47" s="26" customFormat="1" ht="22.5" x14ac:dyDescent="0.25">
      <c r="B70" s="27">
        <v>56</v>
      </c>
      <c r="C70" s="27" t="s">
        <v>39</v>
      </c>
      <c r="D70" s="28">
        <v>40010443</v>
      </c>
      <c r="E70" s="29" t="s">
        <v>126</v>
      </c>
      <c r="F70" s="29" t="s">
        <v>54</v>
      </c>
      <c r="G70" s="30" t="s">
        <v>55</v>
      </c>
      <c r="H70" s="42" t="s">
        <v>56</v>
      </c>
      <c r="I70" s="88" t="s">
        <v>72</v>
      </c>
      <c r="J70" s="31">
        <v>2479686</v>
      </c>
      <c r="K70" s="31">
        <v>0</v>
      </c>
      <c r="L70" s="31">
        <v>720994</v>
      </c>
      <c r="M70" s="31">
        <v>0</v>
      </c>
      <c r="N70" s="31">
        <v>0</v>
      </c>
      <c r="O70" s="31">
        <v>0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0"/>
        <v>0</v>
      </c>
      <c r="Z70" s="32">
        <v>1510000</v>
      </c>
      <c r="AA70" s="33">
        <v>5</v>
      </c>
      <c r="AB70" s="34">
        <v>44216</v>
      </c>
      <c r="AC70" s="89">
        <v>44225</v>
      </c>
      <c r="AD70" s="32">
        <v>0</v>
      </c>
      <c r="AE70" s="35"/>
      <c r="AF70" s="36"/>
      <c r="AG70" s="89"/>
      <c r="AH70" s="32"/>
      <c r="AI70" s="33"/>
      <c r="AJ70" s="36"/>
      <c r="AK70" s="89"/>
      <c r="AL70" s="32"/>
      <c r="AM70" s="33"/>
      <c r="AN70" s="36"/>
      <c r="AO70" s="89"/>
      <c r="AP70" s="32"/>
      <c r="AQ70" s="33"/>
      <c r="AR70" s="36"/>
      <c r="AS70" s="89"/>
      <c r="AT70" s="37">
        <f t="shared" si="3"/>
        <v>1510000</v>
      </c>
      <c r="AU70" s="38">
        <f t="shared" si="4"/>
        <v>1510000</v>
      </c>
    </row>
    <row r="71" spans="2:47" s="26" customFormat="1" x14ac:dyDescent="0.25">
      <c r="B71" s="27">
        <v>57</v>
      </c>
      <c r="C71" s="27" t="s">
        <v>39</v>
      </c>
      <c r="D71" s="28">
        <v>40022437</v>
      </c>
      <c r="E71" s="29" t="s">
        <v>127</v>
      </c>
      <c r="F71" s="29" t="s">
        <v>54</v>
      </c>
      <c r="G71" s="30" t="s">
        <v>55</v>
      </c>
      <c r="H71" s="42" t="s">
        <v>56</v>
      </c>
      <c r="I71" s="88" t="s">
        <v>72</v>
      </c>
      <c r="J71" s="31">
        <v>6274105</v>
      </c>
      <c r="K71" s="31">
        <v>0</v>
      </c>
      <c r="L71" s="31">
        <v>0</v>
      </c>
      <c r="M71" s="31">
        <v>0</v>
      </c>
      <c r="N71" s="31">
        <v>376582</v>
      </c>
      <c r="O71" s="31">
        <v>676838</v>
      </c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0"/>
        <v>1053420</v>
      </c>
      <c r="Z71" s="32">
        <v>3010000</v>
      </c>
      <c r="AA71" s="33">
        <v>5</v>
      </c>
      <c r="AB71" s="34">
        <v>44216</v>
      </c>
      <c r="AC71" s="89">
        <v>44225</v>
      </c>
      <c r="AD71" s="32">
        <v>0</v>
      </c>
      <c r="AE71" s="35"/>
      <c r="AF71" s="36"/>
      <c r="AG71" s="89"/>
      <c r="AH71" s="32"/>
      <c r="AI71" s="33"/>
      <c r="AJ71" s="36"/>
      <c r="AK71" s="89"/>
      <c r="AL71" s="32"/>
      <c r="AM71" s="33"/>
      <c r="AN71" s="36"/>
      <c r="AO71" s="89"/>
      <c r="AP71" s="32"/>
      <c r="AQ71" s="33"/>
      <c r="AR71" s="36"/>
      <c r="AS71" s="89"/>
      <c r="AT71" s="37">
        <f t="shared" si="3"/>
        <v>3010000</v>
      </c>
      <c r="AU71" s="38">
        <f t="shared" si="4"/>
        <v>1956580</v>
      </c>
    </row>
    <row r="72" spans="2:47" s="26" customFormat="1" ht="22.5" x14ac:dyDescent="0.25">
      <c r="B72" s="27">
        <v>58</v>
      </c>
      <c r="C72" s="27" t="s">
        <v>39</v>
      </c>
      <c r="D72" s="28">
        <v>40004814</v>
      </c>
      <c r="E72" s="29" t="s">
        <v>128</v>
      </c>
      <c r="F72" s="29" t="s">
        <v>54</v>
      </c>
      <c r="G72" s="30" t="s">
        <v>55</v>
      </c>
      <c r="H72" s="42" t="s">
        <v>82</v>
      </c>
      <c r="I72" s="88" t="s">
        <v>72</v>
      </c>
      <c r="J72" s="31">
        <v>261905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0"/>
        <v>0</v>
      </c>
      <c r="Z72" s="32">
        <v>256000</v>
      </c>
      <c r="AA72" s="33">
        <v>5</v>
      </c>
      <c r="AB72" s="34">
        <v>44216</v>
      </c>
      <c r="AC72" s="89">
        <v>44225</v>
      </c>
      <c r="AD72" s="32">
        <v>0</v>
      </c>
      <c r="AE72" s="35"/>
      <c r="AF72" s="36"/>
      <c r="AG72" s="89"/>
      <c r="AH72" s="32"/>
      <c r="AI72" s="33"/>
      <c r="AJ72" s="36"/>
      <c r="AK72" s="89"/>
      <c r="AL72" s="32"/>
      <c r="AM72" s="33"/>
      <c r="AN72" s="36"/>
      <c r="AO72" s="89"/>
      <c r="AP72" s="32"/>
      <c r="AQ72" s="33"/>
      <c r="AR72" s="36"/>
      <c r="AS72" s="89"/>
      <c r="AT72" s="37">
        <f t="shared" si="3"/>
        <v>256000</v>
      </c>
      <c r="AU72" s="38">
        <f t="shared" si="4"/>
        <v>256000</v>
      </c>
    </row>
    <row r="73" spans="2:47" s="26" customFormat="1" ht="22.5" x14ac:dyDescent="0.25">
      <c r="B73" s="27">
        <v>59</v>
      </c>
      <c r="C73" s="27" t="s">
        <v>39</v>
      </c>
      <c r="D73" s="28">
        <v>40004829</v>
      </c>
      <c r="E73" s="29" t="s">
        <v>129</v>
      </c>
      <c r="F73" s="29" t="s">
        <v>54</v>
      </c>
      <c r="G73" s="30" t="s">
        <v>55</v>
      </c>
      <c r="H73" s="42" t="s">
        <v>82</v>
      </c>
      <c r="I73" s="88" t="s">
        <v>72</v>
      </c>
      <c r="J73" s="31">
        <v>338515</v>
      </c>
      <c r="K73" s="31">
        <v>0</v>
      </c>
      <c r="L73" s="31">
        <v>168136</v>
      </c>
      <c r="M73" s="31">
        <v>0</v>
      </c>
      <c r="N73" s="31">
        <v>0</v>
      </c>
      <c r="O73" s="31">
        <v>0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0"/>
        <v>0</v>
      </c>
      <c r="Z73" s="32">
        <v>160900</v>
      </c>
      <c r="AA73" s="33">
        <v>5</v>
      </c>
      <c r="AB73" s="34">
        <v>44216</v>
      </c>
      <c r="AC73" s="89">
        <v>44225</v>
      </c>
      <c r="AD73" s="32">
        <v>0</v>
      </c>
      <c r="AE73" s="35"/>
      <c r="AF73" s="36"/>
      <c r="AG73" s="89"/>
      <c r="AH73" s="32"/>
      <c r="AI73" s="33"/>
      <c r="AJ73" s="36"/>
      <c r="AK73" s="89"/>
      <c r="AL73" s="32"/>
      <c r="AM73" s="33"/>
      <c r="AN73" s="36"/>
      <c r="AO73" s="89"/>
      <c r="AP73" s="32"/>
      <c r="AQ73" s="33"/>
      <c r="AR73" s="36"/>
      <c r="AS73" s="89"/>
      <c r="AT73" s="37">
        <f t="shared" si="3"/>
        <v>160900</v>
      </c>
      <c r="AU73" s="38">
        <f t="shared" si="4"/>
        <v>160900</v>
      </c>
    </row>
    <row r="74" spans="2:47" s="26" customFormat="1" ht="22.5" x14ac:dyDescent="0.25">
      <c r="B74" s="27">
        <v>60</v>
      </c>
      <c r="C74" s="27" t="s">
        <v>39</v>
      </c>
      <c r="D74" s="28">
        <v>40004851</v>
      </c>
      <c r="E74" s="29" t="s">
        <v>130</v>
      </c>
      <c r="F74" s="29" t="s">
        <v>54</v>
      </c>
      <c r="G74" s="30" t="s">
        <v>55</v>
      </c>
      <c r="H74" s="42" t="s">
        <v>101</v>
      </c>
      <c r="I74" s="88" t="s">
        <v>72</v>
      </c>
      <c r="J74" s="31">
        <v>145604</v>
      </c>
      <c r="K74" s="31">
        <v>0</v>
      </c>
      <c r="L74" s="31">
        <v>0</v>
      </c>
      <c r="M74" s="31">
        <v>0</v>
      </c>
      <c r="N74" s="31">
        <v>0</v>
      </c>
      <c r="O74" s="31">
        <v>55540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0"/>
        <v>55540</v>
      </c>
      <c r="Z74" s="32">
        <v>140000</v>
      </c>
      <c r="AA74" s="33">
        <v>5</v>
      </c>
      <c r="AB74" s="34">
        <v>44216</v>
      </c>
      <c r="AC74" s="89">
        <v>44225</v>
      </c>
      <c r="AD74" s="32">
        <v>0</v>
      </c>
      <c r="AE74" s="35"/>
      <c r="AF74" s="36"/>
      <c r="AG74" s="89"/>
      <c r="AH74" s="32"/>
      <c r="AI74" s="33"/>
      <c r="AJ74" s="36"/>
      <c r="AK74" s="89"/>
      <c r="AL74" s="32"/>
      <c r="AM74" s="33"/>
      <c r="AN74" s="36"/>
      <c r="AO74" s="89"/>
      <c r="AP74" s="32"/>
      <c r="AQ74" s="33"/>
      <c r="AR74" s="36"/>
      <c r="AS74" s="89"/>
      <c r="AT74" s="37">
        <f t="shared" si="3"/>
        <v>140000</v>
      </c>
      <c r="AU74" s="38">
        <f t="shared" si="4"/>
        <v>84460</v>
      </c>
    </row>
    <row r="75" spans="2:47" s="26" customFormat="1" x14ac:dyDescent="0.25">
      <c r="B75" s="27">
        <v>61</v>
      </c>
      <c r="C75" s="27" t="s">
        <v>39</v>
      </c>
      <c r="D75" s="28">
        <v>30400053</v>
      </c>
      <c r="E75" s="29" t="s">
        <v>131</v>
      </c>
      <c r="F75" s="29" t="s">
        <v>54</v>
      </c>
      <c r="G75" s="30" t="s">
        <v>55</v>
      </c>
      <c r="H75" s="42" t="s">
        <v>101</v>
      </c>
      <c r="I75" s="88" t="s">
        <v>72</v>
      </c>
      <c r="J75" s="31">
        <v>1794968</v>
      </c>
      <c r="K75" s="31">
        <v>0</v>
      </c>
      <c r="L75" s="31">
        <v>327583</v>
      </c>
      <c r="M75" s="31">
        <v>0</v>
      </c>
      <c r="N75" s="31">
        <v>0</v>
      </c>
      <c r="O75" s="31">
        <v>0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0"/>
        <v>0</v>
      </c>
      <c r="Z75" s="32">
        <v>1000000</v>
      </c>
      <c r="AA75" s="33">
        <v>5</v>
      </c>
      <c r="AB75" s="34">
        <v>44216</v>
      </c>
      <c r="AC75" s="89">
        <v>44225</v>
      </c>
      <c r="AD75" s="32">
        <v>0</v>
      </c>
      <c r="AE75" s="35"/>
      <c r="AF75" s="36"/>
      <c r="AG75" s="89"/>
      <c r="AH75" s="32"/>
      <c r="AI75" s="33"/>
      <c r="AJ75" s="36"/>
      <c r="AK75" s="89"/>
      <c r="AL75" s="32"/>
      <c r="AM75" s="33"/>
      <c r="AN75" s="36"/>
      <c r="AO75" s="89"/>
      <c r="AP75" s="32"/>
      <c r="AQ75" s="33"/>
      <c r="AR75" s="36"/>
      <c r="AS75" s="89"/>
      <c r="AT75" s="37">
        <f t="shared" si="3"/>
        <v>1000000</v>
      </c>
      <c r="AU75" s="38">
        <f t="shared" si="4"/>
        <v>1000000</v>
      </c>
    </row>
    <row r="76" spans="2:47" s="26" customFormat="1" ht="22.5" x14ac:dyDescent="0.25">
      <c r="B76" s="27">
        <v>62</v>
      </c>
      <c r="C76" s="27" t="s">
        <v>39</v>
      </c>
      <c r="D76" s="28">
        <v>40004874</v>
      </c>
      <c r="E76" s="29" t="s">
        <v>132</v>
      </c>
      <c r="F76" s="29" t="s">
        <v>54</v>
      </c>
      <c r="G76" s="30" t="s">
        <v>55</v>
      </c>
      <c r="H76" s="42" t="s">
        <v>68</v>
      </c>
      <c r="I76" s="88" t="s">
        <v>72</v>
      </c>
      <c r="J76" s="31">
        <v>253312</v>
      </c>
      <c r="K76" s="31">
        <v>0</v>
      </c>
      <c r="L76" s="31">
        <v>58179</v>
      </c>
      <c r="M76" s="31">
        <v>0</v>
      </c>
      <c r="N76" s="31">
        <v>0</v>
      </c>
      <c r="O76" s="31">
        <v>0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0"/>
        <v>0</v>
      </c>
      <c r="Z76" s="32">
        <v>190000</v>
      </c>
      <c r="AA76" s="33">
        <v>5</v>
      </c>
      <c r="AB76" s="34">
        <v>44216</v>
      </c>
      <c r="AC76" s="89">
        <v>44225</v>
      </c>
      <c r="AD76" s="32">
        <v>0</v>
      </c>
      <c r="AE76" s="35"/>
      <c r="AF76" s="36"/>
      <c r="AG76" s="89"/>
      <c r="AH76" s="32"/>
      <c r="AI76" s="33"/>
      <c r="AJ76" s="36"/>
      <c r="AK76" s="89"/>
      <c r="AL76" s="32"/>
      <c r="AM76" s="33"/>
      <c r="AN76" s="36"/>
      <c r="AO76" s="89"/>
      <c r="AP76" s="32"/>
      <c r="AQ76" s="33"/>
      <c r="AR76" s="36"/>
      <c r="AS76" s="89"/>
      <c r="AT76" s="37">
        <f t="shared" si="3"/>
        <v>190000</v>
      </c>
      <c r="AU76" s="38">
        <f t="shared" si="4"/>
        <v>190000</v>
      </c>
    </row>
    <row r="77" spans="2:47" s="26" customFormat="1" ht="22.5" x14ac:dyDescent="0.25">
      <c r="B77" s="27">
        <v>63</v>
      </c>
      <c r="C77" s="27" t="s">
        <v>39</v>
      </c>
      <c r="D77" s="28">
        <v>40016502</v>
      </c>
      <c r="E77" s="29" t="s">
        <v>133</v>
      </c>
      <c r="F77" s="29" t="s">
        <v>54</v>
      </c>
      <c r="G77" s="30" t="s">
        <v>55</v>
      </c>
      <c r="H77" s="42" t="s">
        <v>62</v>
      </c>
      <c r="I77" s="88" t="s">
        <v>72</v>
      </c>
      <c r="J77" s="31">
        <v>3595518</v>
      </c>
      <c r="K77" s="31">
        <v>0</v>
      </c>
      <c r="L77" s="31">
        <v>2082628</v>
      </c>
      <c r="M77" s="31">
        <v>0</v>
      </c>
      <c r="N77" s="31">
        <v>4430</v>
      </c>
      <c r="O77" s="31">
        <v>4430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0"/>
        <v>8860</v>
      </c>
      <c r="Z77" s="32">
        <v>1500000</v>
      </c>
      <c r="AA77" s="33">
        <v>5</v>
      </c>
      <c r="AB77" s="34">
        <v>44216</v>
      </c>
      <c r="AC77" s="89">
        <v>44225</v>
      </c>
      <c r="AD77" s="32">
        <v>31010</v>
      </c>
      <c r="AE77" s="35">
        <v>16</v>
      </c>
      <c r="AF77" s="41">
        <v>44253</v>
      </c>
      <c r="AG77" s="89">
        <v>44274</v>
      </c>
      <c r="AH77" s="32"/>
      <c r="AI77" s="33"/>
      <c r="AJ77" s="36"/>
      <c r="AK77" s="89"/>
      <c r="AL77" s="32"/>
      <c r="AM77" s="33"/>
      <c r="AN77" s="36"/>
      <c r="AO77" s="89"/>
      <c r="AP77" s="32"/>
      <c r="AQ77" s="33"/>
      <c r="AR77" s="36"/>
      <c r="AS77" s="89"/>
      <c r="AT77" s="37">
        <f t="shared" si="3"/>
        <v>1531010</v>
      </c>
      <c r="AU77" s="38">
        <f t="shared" si="4"/>
        <v>1522150</v>
      </c>
    </row>
    <row r="78" spans="2:47" s="26" customFormat="1" ht="33.75" x14ac:dyDescent="0.25">
      <c r="B78" s="27">
        <v>64</v>
      </c>
      <c r="C78" s="27" t="s">
        <v>39</v>
      </c>
      <c r="D78" s="28">
        <v>40004600</v>
      </c>
      <c r="E78" s="29" t="s">
        <v>134</v>
      </c>
      <c r="F78" s="29" t="s">
        <v>54</v>
      </c>
      <c r="G78" s="30" t="s">
        <v>55</v>
      </c>
      <c r="H78" s="42" t="s">
        <v>64</v>
      </c>
      <c r="I78" s="88" t="s">
        <v>72</v>
      </c>
      <c r="J78" s="31">
        <v>62710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0"/>
        <v>0</v>
      </c>
      <c r="Z78" s="32">
        <v>61325</v>
      </c>
      <c r="AA78" s="33">
        <v>5</v>
      </c>
      <c r="AB78" s="34">
        <v>44216</v>
      </c>
      <c r="AC78" s="89">
        <v>44225</v>
      </c>
      <c r="AD78" s="32">
        <v>0</v>
      </c>
      <c r="AE78" s="35"/>
      <c r="AF78" s="36"/>
      <c r="AG78" s="89"/>
      <c r="AH78" s="32"/>
      <c r="AI78" s="33"/>
      <c r="AJ78" s="36"/>
      <c r="AK78" s="89"/>
      <c r="AL78" s="32"/>
      <c r="AM78" s="33"/>
      <c r="AN78" s="36"/>
      <c r="AO78" s="89"/>
      <c r="AP78" s="32"/>
      <c r="AQ78" s="33"/>
      <c r="AR78" s="36"/>
      <c r="AS78" s="89"/>
      <c r="AT78" s="37">
        <f t="shared" si="3"/>
        <v>61325</v>
      </c>
      <c r="AU78" s="38">
        <f t="shared" si="4"/>
        <v>61325</v>
      </c>
    </row>
    <row r="79" spans="2:47" s="26" customFormat="1" x14ac:dyDescent="0.25">
      <c r="B79" s="27">
        <v>65</v>
      </c>
      <c r="C79" s="27" t="s">
        <v>39</v>
      </c>
      <c r="D79" s="28">
        <v>40012738</v>
      </c>
      <c r="E79" s="29" t="s">
        <v>135</v>
      </c>
      <c r="F79" s="29" t="s">
        <v>54</v>
      </c>
      <c r="G79" s="30" t="s">
        <v>55</v>
      </c>
      <c r="H79" s="42" t="s">
        <v>86</v>
      </c>
      <c r="I79" s="88" t="s">
        <v>72</v>
      </c>
      <c r="J79" s="31">
        <v>628664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0"/>
        <v>0</v>
      </c>
      <c r="Z79" s="32">
        <v>600000</v>
      </c>
      <c r="AA79" s="33">
        <v>5</v>
      </c>
      <c r="AB79" s="34">
        <v>44216</v>
      </c>
      <c r="AC79" s="89">
        <v>44225</v>
      </c>
      <c r="AD79" s="32">
        <v>0</v>
      </c>
      <c r="AE79" s="35"/>
      <c r="AF79" s="36"/>
      <c r="AG79" s="89"/>
      <c r="AH79" s="32"/>
      <c r="AI79" s="33"/>
      <c r="AJ79" s="36"/>
      <c r="AK79" s="89"/>
      <c r="AL79" s="32"/>
      <c r="AM79" s="33"/>
      <c r="AN79" s="36"/>
      <c r="AO79" s="89"/>
      <c r="AP79" s="32"/>
      <c r="AQ79" s="33"/>
      <c r="AR79" s="36"/>
      <c r="AS79" s="89"/>
      <c r="AT79" s="37">
        <f t="shared" si="3"/>
        <v>600000</v>
      </c>
      <c r="AU79" s="38">
        <f t="shared" si="4"/>
        <v>600000</v>
      </c>
    </row>
    <row r="80" spans="2:47" s="26" customFormat="1" x14ac:dyDescent="0.25">
      <c r="B80" s="27">
        <v>66</v>
      </c>
      <c r="C80" s="27" t="s">
        <v>39</v>
      </c>
      <c r="D80" s="28">
        <v>40013572</v>
      </c>
      <c r="E80" s="29" t="s">
        <v>136</v>
      </c>
      <c r="F80" s="29" t="s">
        <v>54</v>
      </c>
      <c r="G80" s="30" t="s">
        <v>55</v>
      </c>
      <c r="H80" s="42" t="s">
        <v>64</v>
      </c>
      <c r="I80" s="88" t="s">
        <v>72</v>
      </c>
      <c r="J80" s="31">
        <v>482287</v>
      </c>
      <c r="K80" s="31">
        <v>0</v>
      </c>
      <c r="L80" s="31">
        <v>24114</v>
      </c>
      <c r="M80" s="31">
        <v>0</v>
      </c>
      <c r="N80" s="31">
        <v>0</v>
      </c>
      <c r="O80" s="31">
        <v>0</v>
      </c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ref="Y80:Y93" si="5">SUM(M80:X80)</f>
        <v>0</v>
      </c>
      <c r="Z80" s="32">
        <v>400000</v>
      </c>
      <c r="AA80" s="33">
        <v>5</v>
      </c>
      <c r="AB80" s="34">
        <v>44216</v>
      </c>
      <c r="AC80" s="89">
        <v>44225</v>
      </c>
      <c r="AD80" s="32">
        <v>0</v>
      </c>
      <c r="AE80" s="35"/>
      <c r="AF80" s="36"/>
      <c r="AG80" s="89"/>
      <c r="AH80" s="32"/>
      <c r="AI80" s="33"/>
      <c r="AJ80" s="36"/>
      <c r="AK80" s="89"/>
      <c r="AL80" s="32"/>
      <c r="AM80" s="33"/>
      <c r="AN80" s="36"/>
      <c r="AO80" s="89"/>
      <c r="AP80" s="32"/>
      <c r="AQ80" s="33"/>
      <c r="AR80" s="36"/>
      <c r="AS80" s="89"/>
      <c r="AT80" s="37">
        <f t="shared" si="3"/>
        <v>400000</v>
      </c>
      <c r="AU80" s="38">
        <f t="shared" si="4"/>
        <v>400000</v>
      </c>
    </row>
    <row r="81" spans="2:47" s="26" customFormat="1" x14ac:dyDescent="0.25">
      <c r="B81" s="27">
        <v>67</v>
      </c>
      <c r="C81" s="27" t="s">
        <v>39</v>
      </c>
      <c r="D81" s="28">
        <v>40015849</v>
      </c>
      <c r="E81" s="29" t="s">
        <v>137</v>
      </c>
      <c r="F81" s="29" t="s">
        <v>54</v>
      </c>
      <c r="G81" s="30" t="s">
        <v>55</v>
      </c>
      <c r="H81" s="42" t="s">
        <v>56</v>
      </c>
      <c r="I81" s="88" t="s">
        <v>72</v>
      </c>
      <c r="J81" s="31">
        <v>4231153</v>
      </c>
      <c r="K81" s="31">
        <v>0</v>
      </c>
      <c r="L81" s="31">
        <v>1634644</v>
      </c>
      <c r="M81" s="31">
        <v>0</v>
      </c>
      <c r="N81" s="31">
        <v>0</v>
      </c>
      <c r="O81" s="31">
        <v>192147</v>
      </c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si="5"/>
        <v>192147</v>
      </c>
      <c r="Z81" s="32">
        <v>2515000</v>
      </c>
      <c r="AA81" s="33">
        <v>5</v>
      </c>
      <c r="AB81" s="34">
        <v>44216</v>
      </c>
      <c r="AC81" s="89">
        <v>44225</v>
      </c>
      <c r="AD81" s="32">
        <v>0</v>
      </c>
      <c r="AE81" s="35"/>
      <c r="AF81" s="36"/>
      <c r="AG81" s="89"/>
      <c r="AH81" s="32"/>
      <c r="AI81" s="33"/>
      <c r="AJ81" s="36"/>
      <c r="AK81" s="89"/>
      <c r="AL81" s="32"/>
      <c r="AM81" s="33"/>
      <c r="AN81" s="36"/>
      <c r="AO81" s="89"/>
      <c r="AP81" s="32"/>
      <c r="AQ81" s="33"/>
      <c r="AR81" s="36"/>
      <c r="AS81" s="89"/>
      <c r="AT81" s="37">
        <f t="shared" si="3"/>
        <v>2515000</v>
      </c>
      <c r="AU81" s="38">
        <f t="shared" si="4"/>
        <v>2322853</v>
      </c>
    </row>
    <row r="82" spans="2:47" s="26" customFormat="1" ht="22.5" x14ac:dyDescent="0.25">
      <c r="B82" s="27">
        <v>68</v>
      </c>
      <c r="C82" s="27" t="s">
        <v>39</v>
      </c>
      <c r="D82" s="28">
        <v>40004894</v>
      </c>
      <c r="E82" s="29" t="s">
        <v>138</v>
      </c>
      <c r="F82" s="29" t="s">
        <v>54</v>
      </c>
      <c r="G82" s="30" t="s">
        <v>55</v>
      </c>
      <c r="H82" s="42" t="s">
        <v>101</v>
      </c>
      <c r="I82" s="88" t="s">
        <v>72</v>
      </c>
      <c r="J82" s="31">
        <v>403975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5"/>
        <v>0</v>
      </c>
      <c r="Z82" s="32">
        <v>397000</v>
      </c>
      <c r="AA82" s="33">
        <v>5</v>
      </c>
      <c r="AB82" s="34">
        <v>44216</v>
      </c>
      <c r="AC82" s="89">
        <v>44225</v>
      </c>
      <c r="AD82" s="32">
        <v>0</v>
      </c>
      <c r="AE82" s="35"/>
      <c r="AF82" s="36"/>
      <c r="AG82" s="89"/>
      <c r="AH82" s="32"/>
      <c r="AI82" s="33"/>
      <c r="AJ82" s="36"/>
      <c r="AK82" s="89"/>
      <c r="AL82" s="32"/>
      <c r="AM82" s="33"/>
      <c r="AN82" s="36"/>
      <c r="AO82" s="89"/>
      <c r="AP82" s="32"/>
      <c r="AQ82" s="33"/>
      <c r="AR82" s="36"/>
      <c r="AS82" s="89"/>
      <c r="AT82" s="37">
        <f t="shared" si="3"/>
        <v>397000</v>
      </c>
      <c r="AU82" s="38">
        <f t="shared" si="4"/>
        <v>397000</v>
      </c>
    </row>
    <row r="83" spans="2:47" s="26" customFormat="1" ht="22.5" x14ac:dyDescent="0.25">
      <c r="B83" s="27">
        <v>69</v>
      </c>
      <c r="C83" s="27" t="s">
        <v>39</v>
      </c>
      <c r="D83" s="28">
        <v>40004876</v>
      </c>
      <c r="E83" s="29" t="s">
        <v>139</v>
      </c>
      <c r="F83" s="29" t="s">
        <v>54</v>
      </c>
      <c r="G83" s="30" t="s">
        <v>55</v>
      </c>
      <c r="H83" s="42" t="s">
        <v>82</v>
      </c>
      <c r="I83" s="88" t="s">
        <v>72</v>
      </c>
      <c r="J83" s="31">
        <v>286623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5"/>
        <v>0</v>
      </c>
      <c r="Z83" s="32">
        <v>255000</v>
      </c>
      <c r="AA83" s="33">
        <v>5</v>
      </c>
      <c r="AB83" s="34">
        <v>44216</v>
      </c>
      <c r="AC83" s="89">
        <v>44225</v>
      </c>
      <c r="AD83" s="32">
        <v>0</v>
      </c>
      <c r="AE83" s="35"/>
      <c r="AF83" s="36"/>
      <c r="AG83" s="89"/>
      <c r="AH83" s="32"/>
      <c r="AI83" s="33"/>
      <c r="AJ83" s="36"/>
      <c r="AK83" s="89"/>
      <c r="AL83" s="32"/>
      <c r="AM83" s="33"/>
      <c r="AN83" s="36"/>
      <c r="AO83" s="89"/>
      <c r="AP83" s="32"/>
      <c r="AQ83" s="33"/>
      <c r="AR83" s="36"/>
      <c r="AS83" s="89"/>
      <c r="AT83" s="37">
        <f t="shared" si="3"/>
        <v>255000</v>
      </c>
      <c r="AU83" s="38">
        <f t="shared" si="4"/>
        <v>255000</v>
      </c>
    </row>
    <row r="84" spans="2:47" s="26" customFormat="1" ht="22.5" x14ac:dyDescent="0.25">
      <c r="B84" s="27">
        <v>70</v>
      </c>
      <c r="C84" s="27" t="s">
        <v>39</v>
      </c>
      <c r="D84" s="28">
        <v>30263723</v>
      </c>
      <c r="E84" s="29" t="s">
        <v>140</v>
      </c>
      <c r="F84" s="29" t="s">
        <v>54</v>
      </c>
      <c r="G84" s="30" t="s">
        <v>55</v>
      </c>
      <c r="H84" s="42" t="s">
        <v>89</v>
      </c>
      <c r="I84" s="88" t="s">
        <v>72</v>
      </c>
      <c r="J84" s="31">
        <v>2494898</v>
      </c>
      <c r="K84" s="31">
        <v>0</v>
      </c>
      <c r="L84" s="31">
        <v>1274889</v>
      </c>
      <c r="M84" s="31">
        <v>0</v>
      </c>
      <c r="N84" s="31">
        <v>0</v>
      </c>
      <c r="O84" s="31">
        <v>0</v>
      </c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5"/>
        <v>0</v>
      </c>
      <c r="Z84" s="32">
        <v>304000</v>
      </c>
      <c r="AA84" s="33">
        <v>5</v>
      </c>
      <c r="AB84" s="34">
        <v>44216</v>
      </c>
      <c r="AC84" s="89">
        <v>44225</v>
      </c>
      <c r="AD84" s="32">
        <v>0</v>
      </c>
      <c r="AE84" s="35"/>
      <c r="AF84" s="36"/>
      <c r="AG84" s="89"/>
      <c r="AH84" s="32"/>
      <c r="AI84" s="33"/>
      <c r="AJ84" s="36"/>
      <c r="AK84" s="89"/>
      <c r="AL84" s="32"/>
      <c r="AM84" s="33"/>
      <c r="AN84" s="36"/>
      <c r="AO84" s="89"/>
      <c r="AP84" s="32"/>
      <c r="AQ84" s="33"/>
      <c r="AR84" s="36"/>
      <c r="AS84" s="89"/>
      <c r="AT84" s="37">
        <f t="shared" si="3"/>
        <v>304000</v>
      </c>
      <c r="AU84" s="38">
        <f t="shared" si="4"/>
        <v>304000</v>
      </c>
    </row>
    <row r="85" spans="2:47" s="26" customFormat="1" ht="22.5" x14ac:dyDescent="0.25">
      <c r="B85" s="27">
        <v>71</v>
      </c>
      <c r="C85" s="27" t="s">
        <v>39</v>
      </c>
      <c r="D85" s="28">
        <v>40016698</v>
      </c>
      <c r="E85" s="29" t="s">
        <v>143</v>
      </c>
      <c r="F85" s="29"/>
      <c r="G85" s="30" t="s">
        <v>55</v>
      </c>
      <c r="H85" s="42" t="s">
        <v>93</v>
      </c>
      <c r="I85" s="88" t="s">
        <v>72</v>
      </c>
      <c r="J85" s="88"/>
      <c r="K85" s="31"/>
      <c r="L85" s="31"/>
      <c r="M85" s="31">
        <v>0</v>
      </c>
      <c r="N85" s="31">
        <v>0</v>
      </c>
      <c r="O85" s="31">
        <v>0</v>
      </c>
      <c r="P85" s="31"/>
      <c r="Q85" s="31"/>
      <c r="R85" s="31"/>
      <c r="S85" s="31"/>
      <c r="T85" s="31"/>
      <c r="U85" s="31"/>
      <c r="V85" s="31"/>
      <c r="W85" s="31"/>
      <c r="X85" s="31"/>
      <c r="Y85" s="31">
        <f t="shared" si="5"/>
        <v>0</v>
      </c>
      <c r="Z85" s="32">
        <v>70631</v>
      </c>
      <c r="AA85" s="33">
        <v>16</v>
      </c>
      <c r="AB85" s="41">
        <v>44253</v>
      </c>
      <c r="AC85" s="89">
        <v>44274</v>
      </c>
      <c r="AD85" s="32">
        <v>0</v>
      </c>
      <c r="AE85" s="35"/>
      <c r="AF85" s="36"/>
      <c r="AG85" s="89"/>
      <c r="AH85" s="32">
        <v>70631</v>
      </c>
      <c r="AI85" s="33"/>
      <c r="AJ85" s="36"/>
      <c r="AK85" s="89"/>
      <c r="AL85" s="32"/>
      <c r="AM85" s="33"/>
      <c r="AN85" s="36"/>
      <c r="AO85" s="89"/>
      <c r="AP85" s="32"/>
      <c r="AQ85" s="33"/>
      <c r="AR85" s="36"/>
      <c r="AS85" s="89"/>
      <c r="AT85" s="37">
        <f t="shared" si="3"/>
        <v>141262</v>
      </c>
      <c r="AU85" s="38">
        <f t="shared" si="4"/>
        <v>141262</v>
      </c>
    </row>
    <row r="86" spans="2:47" s="26" customFormat="1" ht="22.5" x14ac:dyDescent="0.25">
      <c r="B86" s="27">
        <v>72</v>
      </c>
      <c r="C86" s="27" t="s">
        <v>39</v>
      </c>
      <c r="D86" s="28">
        <v>30264172</v>
      </c>
      <c r="E86" s="29" t="s">
        <v>142</v>
      </c>
      <c r="F86" s="29"/>
      <c r="G86" s="30" t="s">
        <v>55</v>
      </c>
      <c r="H86" s="42" t="s">
        <v>86</v>
      </c>
      <c r="I86" s="88" t="s">
        <v>57</v>
      </c>
      <c r="J86" s="88"/>
      <c r="K86" s="31"/>
      <c r="L86" s="31"/>
      <c r="M86" s="31">
        <v>0</v>
      </c>
      <c r="N86" s="31">
        <v>0</v>
      </c>
      <c r="O86" s="31">
        <v>0</v>
      </c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si="5"/>
        <v>0</v>
      </c>
      <c r="Z86" s="32">
        <v>3522</v>
      </c>
      <c r="AA86" s="33">
        <v>16</v>
      </c>
      <c r="AB86" s="41">
        <v>44253</v>
      </c>
      <c r="AC86" s="89">
        <v>44274</v>
      </c>
      <c r="AD86" s="32">
        <v>0</v>
      </c>
      <c r="AE86" s="35"/>
      <c r="AF86" s="36"/>
      <c r="AG86" s="89"/>
      <c r="AH86" s="32">
        <v>3522</v>
      </c>
      <c r="AI86" s="33"/>
      <c r="AJ86" s="36"/>
      <c r="AK86" s="89"/>
      <c r="AL86" s="32"/>
      <c r="AM86" s="33"/>
      <c r="AN86" s="36"/>
      <c r="AO86" s="89"/>
      <c r="AP86" s="32"/>
      <c r="AQ86" s="33"/>
      <c r="AR86" s="36"/>
      <c r="AS86" s="89"/>
      <c r="AT86" s="37">
        <f t="shared" si="3"/>
        <v>7044</v>
      </c>
      <c r="AU86" s="38">
        <f t="shared" si="4"/>
        <v>7044</v>
      </c>
    </row>
    <row r="87" spans="2:47" s="26" customFormat="1" ht="22.5" x14ac:dyDescent="0.25">
      <c r="B87" s="27">
        <v>73</v>
      </c>
      <c r="C87" s="27" t="s">
        <v>39</v>
      </c>
      <c r="D87" s="28">
        <v>30484007</v>
      </c>
      <c r="E87" s="29" t="s">
        <v>141</v>
      </c>
      <c r="F87" s="29"/>
      <c r="G87" s="30" t="s">
        <v>55</v>
      </c>
      <c r="H87" s="42" t="s">
        <v>68</v>
      </c>
      <c r="I87" s="88" t="s">
        <v>72</v>
      </c>
      <c r="J87" s="88"/>
      <c r="K87" s="31"/>
      <c r="L87" s="31"/>
      <c r="M87" s="31">
        <v>0</v>
      </c>
      <c r="N87" s="31">
        <v>0</v>
      </c>
      <c r="O87" s="31">
        <v>0</v>
      </c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5"/>
        <v>0</v>
      </c>
      <c r="Z87" s="32">
        <v>10829</v>
      </c>
      <c r="AA87" s="33">
        <v>16</v>
      </c>
      <c r="AB87" s="41">
        <v>44253</v>
      </c>
      <c r="AC87" s="89">
        <v>44274</v>
      </c>
      <c r="AD87" s="32">
        <v>0</v>
      </c>
      <c r="AE87" s="35"/>
      <c r="AF87" s="36"/>
      <c r="AG87" s="89"/>
      <c r="AH87" s="32">
        <v>10829</v>
      </c>
      <c r="AI87" s="33"/>
      <c r="AJ87" s="36"/>
      <c r="AK87" s="89"/>
      <c r="AL87" s="32"/>
      <c r="AM87" s="33"/>
      <c r="AN87" s="36"/>
      <c r="AO87" s="89"/>
      <c r="AP87" s="32"/>
      <c r="AQ87" s="33"/>
      <c r="AR87" s="36"/>
      <c r="AS87" s="89"/>
      <c r="AT87" s="37">
        <f t="shared" si="3"/>
        <v>21658</v>
      </c>
      <c r="AU87" s="38">
        <f t="shared" si="4"/>
        <v>21658</v>
      </c>
    </row>
    <row r="88" spans="2:47" s="26" customFormat="1" x14ac:dyDescent="0.25">
      <c r="B88" s="27"/>
      <c r="C88" s="27"/>
      <c r="D88" s="28"/>
      <c r="E88" s="29"/>
      <c r="F88" s="29"/>
      <c r="G88" s="30"/>
      <c r="H88" s="42"/>
      <c r="I88" s="88"/>
      <c r="J88" s="88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5"/>
        <v>0</v>
      </c>
      <c r="Z88" s="32"/>
      <c r="AA88" s="33"/>
      <c r="AB88" s="36"/>
      <c r="AC88" s="89"/>
      <c r="AD88" s="93"/>
      <c r="AE88" s="35"/>
      <c r="AF88" s="36"/>
      <c r="AG88" s="89"/>
      <c r="AH88" s="32"/>
      <c r="AI88" s="33"/>
      <c r="AJ88" s="36"/>
      <c r="AK88" s="89"/>
      <c r="AL88" s="32"/>
      <c r="AM88" s="33"/>
      <c r="AN88" s="36"/>
      <c r="AO88" s="89"/>
      <c r="AP88" s="32"/>
      <c r="AQ88" s="33"/>
      <c r="AR88" s="36"/>
      <c r="AS88" s="89"/>
      <c r="AT88" s="37">
        <f t="shared" si="3"/>
        <v>0</v>
      </c>
      <c r="AU88" s="38">
        <f t="shared" si="4"/>
        <v>0</v>
      </c>
    </row>
    <row r="89" spans="2:47" s="26" customFormat="1" x14ac:dyDescent="0.25">
      <c r="B89" s="27"/>
      <c r="C89" s="27"/>
      <c r="D89" s="28"/>
      <c r="E89" s="29"/>
      <c r="F89" s="29"/>
      <c r="G89" s="30"/>
      <c r="H89" s="42"/>
      <c r="I89" s="88"/>
      <c r="J89" s="88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5"/>
        <v>0</v>
      </c>
      <c r="Z89" s="32"/>
      <c r="AA89" s="33"/>
      <c r="AB89" s="36"/>
      <c r="AC89" s="89"/>
      <c r="AD89" s="93"/>
      <c r="AE89" s="35"/>
      <c r="AF89" s="36"/>
      <c r="AG89" s="89"/>
      <c r="AH89" s="32"/>
      <c r="AI89" s="33"/>
      <c r="AJ89" s="36"/>
      <c r="AK89" s="89"/>
      <c r="AL89" s="32"/>
      <c r="AM89" s="33"/>
      <c r="AN89" s="36"/>
      <c r="AO89" s="89"/>
      <c r="AP89" s="32"/>
      <c r="AQ89" s="33"/>
      <c r="AR89" s="36"/>
      <c r="AS89" s="89"/>
      <c r="AT89" s="37">
        <f t="shared" si="3"/>
        <v>0</v>
      </c>
      <c r="AU89" s="38">
        <f t="shared" si="4"/>
        <v>0</v>
      </c>
    </row>
    <row r="90" spans="2:47" s="26" customFormat="1" x14ac:dyDescent="0.25">
      <c r="B90" s="27"/>
      <c r="C90" s="27"/>
      <c r="D90" s="28"/>
      <c r="E90" s="29"/>
      <c r="F90" s="29"/>
      <c r="G90" s="30"/>
      <c r="H90" s="42"/>
      <c r="I90" s="88"/>
      <c r="J90" s="88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5"/>
        <v>0</v>
      </c>
      <c r="Z90" s="32"/>
      <c r="AA90" s="33"/>
      <c r="AB90" s="36"/>
      <c r="AC90" s="89"/>
      <c r="AD90" s="93"/>
      <c r="AE90" s="35"/>
      <c r="AF90" s="36"/>
      <c r="AG90" s="89"/>
      <c r="AH90" s="32"/>
      <c r="AI90" s="33"/>
      <c r="AJ90" s="36"/>
      <c r="AK90" s="89"/>
      <c r="AL90" s="32"/>
      <c r="AM90" s="33"/>
      <c r="AN90" s="36"/>
      <c r="AO90" s="89"/>
      <c r="AP90" s="32"/>
      <c r="AQ90" s="33"/>
      <c r="AR90" s="36"/>
      <c r="AS90" s="89"/>
      <c r="AT90" s="37">
        <f t="shared" si="3"/>
        <v>0</v>
      </c>
      <c r="AU90" s="38">
        <f t="shared" si="4"/>
        <v>0</v>
      </c>
    </row>
    <row r="91" spans="2:47" s="26" customFormat="1" x14ac:dyDescent="0.25">
      <c r="B91" s="27"/>
      <c r="C91" s="27"/>
      <c r="D91" s="28"/>
      <c r="E91" s="29"/>
      <c r="F91" s="29"/>
      <c r="G91" s="30"/>
      <c r="H91" s="42"/>
      <c r="I91" s="88"/>
      <c r="J91" s="88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5"/>
        <v>0</v>
      </c>
      <c r="Z91" s="32"/>
      <c r="AA91" s="33"/>
      <c r="AB91" s="36"/>
      <c r="AC91" s="89"/>
      <c r="AD91" s="93"/>
      <c r="AE91" s="35"/>
      <c r="AF91" s="36"/>
      <c r="AG91" s="89"/>
      <c r="AH91" s="32"/>
      <c r="AI91" s="33"/>
      <c r="AJ91" s="36"/>
      <c r="AK91" s="89"/>
      <c r="AL91" s="32"/>
      <c r="AM91" s="33"/>
      <c r="AN91" s="36"/>
      <c r="AO91" s="89"/>
      <c r="AP91" s="32"/>
      <c r="AQ91" s="33"/>
      <c r="AR91" s="36"/>
      <c r="AS91" s="89"/>
      <c r="AT91" s="37">
        <f t="shared" si="3"/>
        <v>0</v>
      </c>
      <c r="AU91" s="38">
        <f t="shared" si="4"/>
        <v>0</v>
      </c>
    </row>
    <row r="92" spans="2:47" s="26" customFormat="1" x14ac:dyDescent="0.25">
      <c r="B92" s="27"/>
      <c r="C92" s="27"/>
      <c r="D92" s="28"/>
      <c r="E92" s="29"/>
      <c r="F92" s="29"/>
      <c r="G92" s="30"/>
      <c r="H92" s="42"/>
      <c r="I92" s="88"/>
      <c r="J92" s="88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5"/>
        <v>0</v>
      </c>
      <c r="Z92" s="32"/>
      <c r="AA92" s="33"/>
      <c r="AB92" s="36"/>
      <c r="AC92" s="89"/>
      <c r="AD92" s="93"/>
      <c r="AE92" s="35"/>
      <c r="AF92" s="36"/>
      <c r="AG92" s="89"/>
      <c r="AH92" s="32"/>
      <c r="AI92" s="33"/>
      <c r="AJ92" s="36"/>
      <c r="AK92" s="89"/>
      <c r="AL92" s="32"/>
      <c r="AM92" s="33"/>
      <c r="AN92" s="36"/>
      <c r="AO92" s="89"/>
      <c r="AP92" s="32"/>
      <c r="AQ92" s="33"/>
      <c r="AR92" s="36"/>
      <c r="AS92" s="89"/>
      <c r="AT92" s="37">
        <f t="shared" si="3"/>
        <v>0</v>
      </c>
      <c r="AU92" s="38">
        <f t="shared" si="4"/>
        <v>0</v>
      </c>
    </row>
    <row r="93" spans="2:47" s="26" customFormat="1" x14ac:dyDescent="0.25">
      <c r="B93" s="27"/>
      <c r="C93" s="27"/>
      <c r="D93" s="28"/>
      <c r="E93" s="29"/>
      <c r="F93" s="29"/>
      <c r="G93" s="30"/>
      <c r="H93" s="42"/>
      <c r="I93" s="43"/>
      <c r="J93" s="43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5"/>
        <v>0</v>
      </c>
      <c r="Z93" s="32"/>
      <c r="AA93" s="33"/>
      <c r="AB93" s="36"/>
      <c r="AC93" s="89"/>
      <c r="AD93" s="93"/>
      <c r="AE93" s="35"/>
      <c r="AF93" s="36"/>
      <c r="AG93" s="89"/>
      <c r="AH93" s="32"/>
      <c r="AI93" s="33"/>
      <c r="AJ93" s="36"/>
      <c r="AK93" s="89"/>
      <c r="AL93" s="32"/>
      <c r="AM93" s="33"/>
      <c r="AN93" s="36"/>
      <c r="AO93" s="89"/>
      <c r="AP93" s="32"/>
      <c r="AQ93" s="33"/>
      <c r="AR93" s="36"/>
      <c r="AS93" s="89"/>
      <c r="AT93" s="37">
        <f t="shared" si="3"/>
        <v>0</v>
      </c>
      <c r="AU93" s="38">
        <f t="shared" si="4"/>
        <v>0</v>
      </c>
    </row>
    <row r="94" spans="2:47" ht="15" customHeight="1" x14ac:dyDescent="0.25">
      <c r="B94" s="534" t="s">
        <v>40</v>
      </c>
      <c r="C94" s="535"/>
      <c r="D94" s="535"/>
      <c r="E94" s="535"/>
      <c r="F94" s="535"/>
      <c r="G94" s="535"/>
      <c r="H94" s="535"/>
      <c r="I94" s="536"/>
      <c r="J94" s="70"/>
      <c r="K94" s="48">
        <f t="shared" ref="K94:Z94" si="6">SUM(K16:K93)</f>
        <v>79650003</v>
      </c>
      <c r="L94" s="48">
        <f t="shared" si="6"/>
        <v>32386866</v>
      </c>
      <c r="M94" s="48">
        <f t="shared" si="6"/>
        <v>0</v>
      </c>
      <c r="N94" s="48">
        <f t="shared" si="6"/>
        <v>2581619</v>
      </c>
      <c r="O94" s="48">
        <f t="shared" si="6"/>
        <v>3325882</v>
      </c>
      <c r="P94" s="48">
        <f t="shared" si="6"/>
        <v>0</v>
      </c>
      <c r="Q94" s="48">
        <f t="shared" si="6"/>
        <v>0</v>
      </c>
      <c r="R94" s="48">
        <f t="shared" si="6"/>
        <v>0</v>
      </c>
      <c r="S94" s="48">
        <f t="shared" si="6"/>
        <v>0</v>
      </c>
      <c r="T94" s="48">
        <f t="shared" si="6"/>
        <v>0</v>
      </c>
      <c r="U94" s="48">
        <f t="shared" si="6"/>
        <v>0</v>
      </c>
      <c r="V94" s="48">
        <f t="shared" si="6"/>
        <v>0</v>
      </c>
      <c r="W94" s="48">
        <f t="shared" si="6"/>
        <v>0</v>
      </c>
      <c r="X94" s="48">
        <f t="shared" si="6"/>
        <v>0</v>
      </c>
      <c r="Y94" s="48">
        <f t="shared" si="6"/>
        <v>5907501</v>
      </c>
      <c r="Z94" s="48">
        <f t="shared" si="6"/>
        <v>42953334</v>
      </c>
      <c r="AA94" s="48"/>
      <c r="AB94" s="48"/>
      <c r="AC94" s="48"/>
      <c r="AD94" s="48">
        <f>SUM(AD16:AD93)</f>
        <v>-84982</v>
      </c>
      <c r="AE94" s="48"/>
      <c r="AF94" s="48"/>
      <c r="AG94" s="48"/>
      <c r="AH94" s="48">
        <f t="shared" ref="AH94:AU94" si="7">SUM(AH16:AH93)</f>
        <v>84982</v>
      </c>
      <c r="AI94" s="48">
        <f t="shared" si="7"/>
        <v>0</v>
      </c>
      <c r="AJ94" s="48">
        <f t="shared" si="7"/>
        <v>0</v>
      </c>
      <c r="AK94" s="48">
        <f>SUM(AK16:AK93)</f>
        <v>0</v>
      </c>
      <c r="AL94" s="48">
        <f t="shared" si="7"/>
        <v>0</v>
      </c>
      <c r="AM94" s="48">
        <f t="shared" si="7"/>
        <v>0</v>
      </c>
      <c r="AN94" s="48">
        <f t="shared" si="7"/>
        <v>0</v>
      </c>
      <c r="AO94" s="48">
        <f t="shared" si="7"/>
        <v>0</v>
      </c>
      <c r="AP94" s="48">
        <f t="shared" si="7"/>
        <v>0</v>
      </c>
      <c r="AQ94" s="48">
        <f t="shared" si="7"/>
        <v>0</v>
      </c>
      <c r="AR94" s="48">
        <f t="shared" si="7"/>
        <v>0</v>
      </c>
      <c r="AS94" s="48">
        <f t="shared" si="7"/>
        <v>0</v>
      </c>
      <c r="AT94" s="48">
        <f t="shared" si="7"/>
        <v>42953334</v>
      </c>
      <c r="AU94" s="48">
        <f t="shared" si="7"/>
        <v>37045833</v>
      </c>
    </row>
    <row r="95" spans="2:47" ht="20.25" customHeight="1" x14ac:dyDescent="0.2">
      <c r="B95" s="537"/>
      <c r="C95" s="537"/>
      <c r="D95" s="537"/>
      <c r="E95" s="537"/>
      <c r="F95" s="44"/>
      <c r="G95" s="16"/>
      <c r="H95" s="16"/>
    </row>
    <row r="96" spans="2:47" x14ac:dyDescent="0.2">
      <c r="B96" s="538"/>
      <c r="C96" s="538"/>
      <c r="D96" s="538"/>
      <c r="E96" s="538"/>
      <c r="F96" s="538"/>
      <c r="G96" s="538"/>
      <c r="H96" s="538"/>
      <c r="I96" s="538"/>
      <c r="J96" s="538"/>
      <c r="K96" s="538"/>
      <c r="L96" s="538"/>
      <c r="M96" s="538"/>
      <c r="N96" s="538"/>
      <c r="O96" s="538"/>
      <c r="P96" s="538"/>
      <c r="Q96" s="538"/>
      <c r="R96" s="538"/>
      <c r="S96" s="538"/>
      <c r="T96" s="538"/>
      <c r="U96" s="538"/>
      <c r="V96" s="538"/>
      <c r="W96" s="538"/>
      <c r="X96" s="538"/>
      <c r="Y96" s="538"/>
      <c r="Z96" s="538"/>
      <c r="AA96" s="538"/>
      <c r="AB96" s="538"/>
      <c r="AC96" s="538"/>
      <c r="AE96" s="46"/>
      <c r="AF96" s="45"/>
      <c r="AG96" s="45"/>
      <c r="AH96" s="45"/>
      <c r="AI96" s="47"/>
      <c r="AJ96" s="45"/>
      <c r="AK96" s="45"/>
      <c r="AL96" s="45"/>
      <c r="AM96" s="47"/>
      <c r="AN96" s="45"/>
      <c r="AO96" s="45"/>
      <c r="AP96" s="45"/>
      <c r="AQ96" s="47"/>
      <c r="AR96" s="46"/>
      <c r="AS96" s="45"/>
    </row>
    <row r="98" spans="26:46" x14ac:dyDescent="0.2">
      <c r="Z98" s="8"/>
      <c r="AQ98" s="46"/>
    </row>
    <row r="102" spans="26:46" x14ac:dyDescent="0.2">
      <c r="AT102" s="8"/>
    </row>
    <row r="103" spans="26:46" x14ac:dyDescent="0.2">
      <c r="AT103" s="8"/>
    </row>
  </sheetData>
  <mergeCells count="16">
    <mergeCell ref="AT14:AU14"/>
    <mergeCell ref="B94:I94"/>
    <mergeCell ref="B95:E95"/>
    <mergeCell ref="B96:AC96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93">
    <cfRule type="duplicateValues" dxfId="56" priority="1"/>
  </conditionalFormatting>
  <conditionalFormatting sqref="D37:D92">
    <cfRule type="duplicateValues" dxfId="55" priority="2"/>
  </conditionalFormatting>
  <conditionalFormatting sqref="D16:D36">
    <cfRule type="duplicateValues" dxfId="54" priority="3"/>
  </conditionalFormatting>
  <pageMargins left="0.7" right="0.7" top="0.75" bottom="0.75" header="0.3" footer="0.3"/>
  <pageSetup scale="30" orientation="portrait" r:id="rId1"/>
  <ignoredErrors>
    <ignoredError sqref="Y16:Y8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135"/>
  <sheetViews>
    <sheetView showGridLines="0" topLeftCell="B1" zoomScaleNormal="100" workbookViewId="0">
      <pane ySplit="15" topLeftCell="A16" activePane="bottomLeft" state="frozen"/>
      <selection activeCell="A9" sqref="A9"/>
      <selection pane="bottomLeft" activeCell="M22" sqref="M22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9" width="9.7109375" style="4" customWidth="1"/>
    <col min="10" max="10" width="9.7109375" style="8" customWidth="1"/>
    <col min="11" max="24" width="12" style="4" customWidth="1"/>
    <col min="25" max="25" width="14.42578125" style="4" customWidth="1"/>
    <col min="26" max="26" width="10.140625" style="4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98"/>
      <c r="AE1" s="2"/>
      <c r="AF1" s="98"/>
      <c r="AG1" s="98"/>
      <c r="AH1" s="98"/>
      <c r="AI1" s="3"/>
      <c r="AJ1" s="98"/>
      <c r="AK1" s="98"/>
      <c r="AL1" s="98"/>
      <c r="AM1" s="3"/>
      <c r="AN1" s="98"/>
      <c r="AO1" s="98"/>
      <c r="AP1" s="98"/>
      <c r="AQ1" s="3"/>
      <c r="AR1" s="98"/>
      <c r="AS1" s="98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98"/>
      <c r="AE2" s="2"/>
      <c r="AF2" s="98"/>
      <c r="AG2" s="98"/>
      <c r="AH2" s="98"/>
      <c r="AI2" s="3"/>
      <c r="AJ2" s="98"/>
      <c r="AK2" s="98"/>
      <c r="AL2" s="98"/>
      <c r="AM2" s="3"/>
      <c r="AN2" s="98"/>
      <c r="AO2" s="98"/>
      <c r="AP2" s="98"/>
      <c r="AQ2" s="3"/>
      <c r="AR2" s="98"/>
      <c r="AS2" s="98"/>
    </row>
    <row r="3" spans="2:47" ht="11.2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97"/>
      <c r="AE3" s="6"/>
      <c r="AF3" s="97"/>
      <c r="AG3" s="97"/>
      <c r="AH3" s="97"/>
      <c r="AI3" s="7"/>
      <c r="AJ3" s="97"/>
      <c r="AK3" s="97"/>
      <c r="AL3" s="97"/>
      <c r="AM3" s="7"/>
      <c r="AN3" s="97"/>
      <c r="AO3" s="97"/>
      <c r="AP3" s="97"/>
      <c r="AQ3" s="7"/>
      <c r="AR3" s="97"/>
      <c r="AS3" s="97"/>
    </row>
    <row r="4" spans="2:47" ht="11.2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97"/>
      <c r="AE4" s="6"/>
      <c r="AF4" s="97"/>
      <c r="AG4" s="97"/>
      <c r="AH4" s="97"/>
      <c r="AI4" s="7"/>
      <c r="AJ4" s="97"/>
      <c r="AK4" s="97"/>
      <c r="AL4" s="97"/>
      <c r="AM4" s="7"/>
      <c r="AN4" s="97"/>
      <c r="AO4" s="97"/>
      <c r="AP4" s="97"/>
      <c r="AQ4" s="7"/>
      <c r="AR4" s="97"/>
      <c r="AS4" s="97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97"/>
      <c r="AE5" s="6"/>
      <c r="AF5" s="97"/>
      <c r="AG5" s="97"/>
      <c r="AH5" s="97"/>
      <c r="AI5" s="7"/>
      <c r="AJ5" s="97"/>
      <c r="AK5" s="97"/>
      <c r="AL5" s="97"/>
      <c r="AM5" s="7"/>
      <c r="AN5" s="97"/>
      <c r="AO5" s="97"/>
      <c r="AP5" s="97"/>
      <c r="AQ5" s="7"/>
      <c r="AR5" s="97"/>
      <c r="AS5" s="97"/>
    </row>
    <row r="6" spans="2:47" ht="11.2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97"/>
      <c r="AE6" s="6"/>
      <c r="AF6" s="97"/>
      <c r="AG6" s="97"/>
      <c r="AH6" s="97"/>
      <c r="AI6" s="7"/>
      <c r="AJ6" s="97"/>
      <c r="AK6" s="97"/>
      <c r="AL6" s="97"/>
      <c r="AM6" s="7"/>
      <c r="AN6" s="97"/>
      <c r="AO6" s="97"/>
      <c r="AP6" s="97"/>
      <c r="AQ6" s="7"/>
      <c r="AR6" s="97"/>
      <c r="AS6" s="97"/>
    </row>
    <row r="7" spans="2:47" ht="11.25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97"/>
      <c r="AE7" s="6"/>
      <c r="AF7" s="97"/>
      <c r="AG7" s="97"/>
      <c r="AH7" s="97"/>
      <c r="AI7" s="7"/>
      <c r="AJ7" s="97"/>
      <c r="AK7" s="97"/>
      <c r="AL7" s="97"/>
      <c r="AM7" s="7"/>
      <c r="AN7" s="97"/>
      <c r="AO7" s="97"/>
      <c r="AP7" s="97"/>
      <c r="AQ7" s="7"/>
      <c r="AR7" s="97"/>
      <c r="AS7" s="97"/>
    </row>
    <row r="8" spans="2:47" ht="11.2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97"/>
      <c r="AE8" s="6"/>
      <c r="AF8" s="97"/>
      <c r="AG8" s="97"/>
      <c r="AH8" s="97"/>
      <c r="AI8" s="7"/>
      <c r="AJ8" s="97"/>
      <c r="AK8" s="97"/>
      <c r="AL8" s="97"/>
      <c r="AM8" s="7"/>
      <c r="AN8" s="97"/>
      <c r="AO8" s="97"/>
      <c r="AP8" s="97"/>
      <c r="AQ8" s="7"/>
      <c r="AR8" s="97"/>
      <c r="AS8" s="97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97"/>
      <c r="AE9" s="6"/>
      <c r="AF9" s="97"/>
      <c r="AG9" s="97"/>
      <c r="AH9" s="97"/>
      <c r="AI9" s="7"/>
      <c r="AJ9" s="97"/>
      <c r="AK9" s="97"/>
      <c r="AL9" s="97"/>
      <c r="AM9" s="7"/>
      <c r="AN9" s="97"/>
      <c r="AO9" s="97"/>
      <c r="AP9" s="97"/>
      <c r="AQ9" s="7"/>
      <c r="AR9" s="97"/>
      <c r="AS9" s="97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96"/>
      <c r="C11" s="96"/>
      <c r="D11" s="96"/>
      <c r="E11" s="98"/>
      <c r="F11" s="96"/>
      <c r="G11" s="96"/>
      <c r="H11" s="96"/>
      <c r="I11" s="96"/>
      <c r="J11" s="108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96"/>
      <c r="H12" s="96"/>
      <c r="I12" s="96"/>
      <c r="J12" s="108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</row>
    <row r="13" spans="2:47" ht="18.75" x14ac:dyDescent="0.2">
      <c r="B13" s="15">
        <v>40872537</v>
      </c>
      <c r="C13" s="15">
        <v>32541684</v>
      </c>
      <c r="D13" s="15">
        <v>38109520</v>
      </c>
      <c r="E13" s="35">
        <f>+Y124</f>
        <v>11986553</v>
      </c>
      <c r="F13" s="84"/>
      <c r="G13" s="96"/>
      <c r="H13" s="96"/>
      <c r="I13" s="96"/>
      <c r="J13" s="108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</row>
    <row r="14" spans="2:47" ht="15" customHeight="1" x14ac:dyDescent="0.2">
      <c r="C14" s="17"/>
      <c r="D14" s="18"/>
      <c r="F14" s="17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107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24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</row>
    <row r="16" spans="2:47" s="26" customFormat="1" ht="22.5" x14ac:dyDescent="0.25">
      <c r="B16" s="276">
        <v>1</v>
      </c>
      <c r="C16" s="276" t="s">
        <v>39</v>
      </c>
      <c r="D16" s="28" t="s">
        <v>328</v>
      </c>
      <c r="E16" s="304" t="s">
        <v>327</v>
      </c>
      <c r="F16" s="304" t="s">
        <v>147</v>
      </c>
      <c r="G16" s="30" t="s">
        <v>146</v>
      </c>
      <c r="H16" s="30" t="s">
        <v>146</v>
      </c>
      <c r="I16" s="274" t="s">
        <v>57</v>
      </c>
      <c r="J16" s="305">
        <f>29000797-7157499</f>
        <v>21843298</v>
      </c>
      <c r="K16" s="31">
        <f>17289534</f>
        <v>17289534</v>
      </c>
      <c r="L16" s="31">
        <f>377874</f>
        <v>377874</v>
      </c>
      <c r="M16" s="31">
        <v>0</v>
      </c>
      <c r="N16" s="31">
        <v>2684380</v>
      </c>
      <c r="O16" s="31">
        <v>0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 t="shared" ref="Y16:Y47" si="0">SUM(M16:X16)</f>
        <v>2684380</v>
      </c>
      <c r="Z16" s="32">
        <f>3903689+92025+92025</f>
        <v>4087739</v>
      </c>
      <c r="AA16" s="104" t="s">
        <v>177</v>
      </c>
      <c r="AB16" s="34">
        <v>44209</v>
      </c>
      <c r="AC16" s="89">
        <v>44243</v>
      </c>
      <c r="AD16" s="32"/>
      <c r="AE16" s="35"/>
      <c r="AF16" s="34"/>
      <c r="AG16" s="89"/>
      <c r="AH16" s="32"/>
      <c r="AI16" s="33"/>
      <c r="AJ16" s="36"/>
      <c r="AK16" s="89"/>
      <c r="AL16" s="32"/>
      <c r="AM16" s="33"/>
      <c r="AN16" s="36"/>
      <c r="AO16" s="89"/>
      <c r="AP16" s="32"/>
      <c r="AQ16" s="33"/>
      <c r="AR16" s="36"/>
      <c r="AS16" s="89"/>
      <c r="AT16" s="270">
        <f t="shared" ref="AT16:AT47" si="1">+Z16+AD16+AH16+AL16+AP16</f>
        <v>4087739</v>
      </c>
      <c r="AU16" s="38">
        <f t="shared" ref="AU16:AU47" si="2">+AT16-Y16</f>
        <v>1403359</v>
      </c>
    </row>
    <row r="17" spans="2:47" s="26" customFormat="1" ht="22.5" x14ac:dyDescent="0.25">
      <c r="B17" s="276">
        <v>2</v>
      </c>
      <c r="C17" s="276" t="s">
        <v>39</v>
      </c>
      <c r="D17" s="28" t="s">
        <v>326</v>
      </c>
      <c r="E17" s="304" t="s">
        <v>325</v>
      </c>
      <c r="F17" s="304" t="s">
        <v>147</v>
      </c>
      <c r="G17" s="30" t="s">
        <v>146</v>
      </c>
      <c r="H17" s="30" t="s">
        <v>158</v>
      </c>
      <c r="I17" s="274" t="s">
        <v>57</v>
      </c>
      <c r="J17" s="305">
        <f>270179</f>
        <v>270179</v>
      </c>
      <c r="K17" s="31">
        <f>2360</f>
        <v>2360</v>
      </c>
      <c r="L17" s="31">
        <f>0</f>
        <v>0</v>
      </c>
      <c r="M17" s="31">
        <v>0</v>
      </c>
      <c r="N17" s="31">
        <v>0</v>
      </c>
      <c r="O17" s="31">
        <v>64441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si="0"/>
        <v>64441</v>
      </c>
      <c r="Z17" s="32">
        <f>12000+254781</f>
        <v>266781</v>
      </c>
      <c r="AA17" s="104" t="s">
        <v>177</v>
      </c>
      <c r="AB17" s="34">
        <v>44209</v>
      </c>
      <c r="AC17" s="89">
        <v>44243</v>
      </c>
      <c r="AD17" s="32"/>
      <c r="AE17" s="35"/>
      <c r="AF17" s="36"/>
      <c r="AG17" s="89"/>
      <c r="AH17" s="32"/>
      <c r="AI17" s="33"/>
      <c r="AJ17" s="36"/>
      <c r="AK17" s="89"/>
      <c r="AL17" s="32"/>
      <c r="AM17" s="33"/>
      <c r="AN17" s="36"/>
      <c r="AO17" s="89"/>
      <c r="AP17" s="32"/>
      <c r="AQ17" s="33"/>
      <c r="AR17" s="36"/>
      <c r="AS17" s="89"/>
      <c r="AT17" s="270">
        <f t="shared" si="1"/>
        <v>266781</v>
      </c>
      <c r="AU17" s="38">
        <f t="shared" si="2"/>
        <v>202340</v>
      </c>
    </row>
    <row r="18" spans="2:47" s="26" customFormat="1" ht="22.5" x14ac:dyDescent="0.25">
      <c r="B18" s="276">
        <v>3</v>
      </c>
      <c r="C18" s="276" t="s">
        <v>39</v>
      </c>
      <c r="D18" s="28" t="s">
        <v>324</v>
      </c>
      <c r="E18" s="304" t="s">
        <v>323</v>
      </c>
      <c r="F18" s="304" t="s">
        <v>147</v>
      </c>
      <c r="G18" s="30" t="s">
        <v>146</v>
      </c>
      <c r="H18" s="30" t="s">
        <v>158</v>
      </c>
      <c r="I18" s="274" t="s">
        <v>57</v>
      </c>
      <c r="J18" s="305">
        <f>718214</f>
        <v>718214</v>
      </c>
      <c r="K18" s="31">
        <f>592</f>
        <v>592</v>
      </c>
      <c r="L18" s="31">
        <f>0</f>
        <v>0</v>
      </c>
      <c r="M18" s="31">
        <v>0</v>
      </c>
      <c r="N18" s="31">
        <v>100956</v>
      </c>
      <c r="O18" s="31">
        <f>103318</f>
        <v>103318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0"/>
        <v>204274</v>
      </c>
      <c r="Z18" s="32">
        <f>13297+704325</f>
        <v>717622</v>
      </c>
      <c r="AA18" s="104" t="s">
        <v>177</v>
      </c>
      <c r="AB18" s="34">
        <v>44209</v>
      </c>
      <c r="AC18" s="89">
        <v>44243</v>
      </c>
      <c r="AD18" s="91"/>
      <c r="AE18" s="40"/>
      <c r="AF18" s="34"/>
      <c r="AG18" s="90"/>
      <c r="AH18" s="91"/>
      <c r="AI18" s="39"/>
      <c r="AJ18" s="34"/>
      <c r="AK18" s="90"/>
      <c r="AL18" s="91"/>
      <c r="AM18" s="39"/>
      <c r="AN18" s="34"/>
      <c r="AO18" s="89"/>
      <c r="AP18" s="91"/>
      <c r="AQ18" s="33"/>
      <c r="AR18" s="41"/>
      <c r="AS18" s="89"/>
      <c r="AT18" s="270">
        <f t="shared" si="1"/>
        <v>717622</v>
      </c>
      <c r="AU18" s="38">
        <f t="shared" si="2"/>
        <v>513348</v>
      </c>
    </row>
    <row r="19" spans="2:47" s="26" customFormat="1" ht="22.5" x14ac:dyDescent="0.25">
      <c r="B19" s="276">
        <v>4</v>
      </c>
      <c r="C19" s="276" t="s">
        <v>39</v>
      </c>
      <c r="D19" s="28" t="s">
        <v>322</v>
      </c>
      <c r="E19" s="304" t="s">
        <v>321</v>
      </c>
      <c r="F19" s="304" t="s">
        <v>318</v>
      </c>
      <c r="G19" s="30" t="s">
        <v>146</v>
      </c>
      <c r="H19" s="30" t="s">
        <v>146</v>
      </c>
      <c r="I19" s="274" t="s">
        <v>57</v>
      </c>
      <c r="J19" s="305">
        <f>11462+366157</f>
        <v>377619</v>
      </c>
      <c r="K19" s="31">
        <f>11462+14326</f>
        <v>25788</v>
      </c>
      <c r="L19" s="31">
        <f>0</f>
        <v>0</v>
      </c>
      <c r="M19" s="31">
        <v>0</v>
      </c>
      <c r="N19" s="31">
        <v>344089</v>
      </c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0"/>
        <v>344089</v>
      </c>
      <c r="Z19" s="32">
        <f>344090</f>
        <v>344090</v>
      </c>
      <c r="AA19" s="104" t="s">
        <v>177</v>
      </c>
      <c r="AB19" s="34">
        <v>44209</v>
      </c>
      <c r="AC19" s="89">
        <v>44243</v>
      </c>
      <c r="AD19" s="32"/>
      <c r="AE19" s="40"/>
      <c r="AF19" s="34"/>
      <c r="AG19" s="90"/>
      <c r="AH19" s="92"/>
      <c r="AI19" s="39"/>
      <c r="AJ19" s="34"/>
      <c r="AK19" s="90"/>
      <c r="AL19" s="92"/>
      <c r="AM19" s="39"/>
      <c r="AN19" s="34"/>
      <c r="AO19" s="89"/>
      <c r="AP19" s="92"/>
      <c r="AQ19" s="33"/>
      <c r="AR19" s="41"/>
      <c r="AS19" s="89"/>
      <c r="AT19" s="270">
        <f t="shared" si="1"/>
        <v>344090</v>
      </c>
      <c r="AU19" s="38">
        <f t="shared" si="2"/>
        <v>1</v>
      </c>
    </row>
    <row r="20" spans="2:47" s="26" customFormat="1" x14ac:dyDescent="0.25">
      <c r="B20" s="276">
        <v>5</v>
      </c>
      <c r="C20" s="276" t="s">
        <v>39</v>
      </c>
      <c r="D20" s="28" t="s">
        <v>320</v>
      </c>
      <c r="E20" s="304" t="s">
        <v>319</v>
      </c>
      <c r="F20" s="304" t="s">
        <v>318</v>
      </c>
      <c r="G20" s="30" t="s">
        <v>146</v>
      </c>
      <c r="H20" s="30" t="s">
        <v>158</v>
      </c>
      <c r="I20" s="274" t="s">
        <v>57</v>
      </c>
      <c r="J20" s="305">
        <f>670476</f>
        <v>670476</v>
      </c>
      <c r="K20" s="31">
        <f>577</f>
        <v>577</v>
      </c>
      <c r="L20" s="31">
        <f>13398</f>
        <v>13398</v>
      </c>
      <c r="M20" s="31">
        <v>0</v>
      </c>
      <c r="N20" s="31">
        <v>0</v>
      </c>
      <c r="O20" s="31">
        <v>69817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0"/>
        <v>69817</v>
      </c>
      <c r="Z20" s="32">
        <f>27899+627974</f>
        <v>655873</v>
      </c>
      <c r="AA20" s="104" t="s">
        <v>177</v>
      </c>
      <c r="AB20" s="34">
        <v>44209</v>
      </c>
      <c r="AC20" s="89">
        <v>44243</v>
      </c>
      <c r="AD20" s="32"/>
      <c r="AE20" s="40"/>
      <c r="AF20" s="34"/>
      <c r="AG20" s="90"/>
      <c r="AH20" s="92"/>
      <c r="AI20" s="39"/>
      <c r="AJ20" s="34"/>
      <c r="AK20" s="90"/>
      <c r="AL20" s="92"/>
      <c r="AM20" s="39"/>
      <c r="AN20" s="34"/>
      <c r="AO20" s="89"/>
      <c r="AP20" s="92"/>
      <c r="AQ20" s="33"/>
      <c r="AR20" s="41"/>
      <c r="AS20" s="89"/>
      <c r="AT20" s="270">
        <f t="shared" si="1"/>
        <v>655873</v>
      </c>
      <c r="AU20" s="38">
        <f t="shared" si="2"/>
        <v>586056</v>
      </c>
    </row>
    <row r="21" spans="2:47" s="26" customFormat="1" x14ac:dyDescent="0.25">
      <c r="B21" s="276">
        <v>6</v>
      </c>
      <c r="C21" s="276" t="s">
        <v>39</v>
      </c>
      <c r="D21" s="28" t="s">
        <v>317</v>
      </c>
      <c r="E21" s="304" t="s">
        <v>316</v>
      </c>
      <c r="F21" s="304" t="s">
        <v>193</v>
      </c>
      <c r="G21" s="30" t="s">
        <v>146</v>
      </c>
      <c r="H21" s="30" t="s">
        <v>158</v>
      </c>
      <c r="I21" s="274" t="s">
        <v>57</v>
      </c>
      <c r="J21" s="305">
        <f>14678</f>
        <v>14678</v>
      </c>
      <c r="K21" s="31">
        <f>277</f>
        <v>277</v>
      </c>
      <c r="L21" s="31">
        <f>1</f>
        <v>1</v>
      </c>
      <c r="M21" s="31">
        <v>0</v>
      </c>
      <c r="N21" s="31">
        <v>0</v>
      </c>
      <c r="O21" s="31">
        <v>9600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0"/>
        <v>9600</v>
      </c>
      <c r="Z21" s="32">
        <f>4800</f>
        <v>4800</v>
      </c>
      <c r="AA21" s="104" t="s">
        <v>177</v>
      </c>
      <c r="AB21" s="34">
        <v>44209</v>
      </c>
      <c r="AC21" s="89">
        <v>44243</v>
      </c>
      <c r="AD21" s="32">
        <f>9600</f>
        <v>9600</v>
      </c>
      <c r="AE21" s="104" t="s">
        <v>144</v>
      </c>
      <c r="AF21" s="41">
        <v>44253</v>
      </c>
      <c r="AG21" s="89">
        <v>44281</v>
      </c>
      <c r="AH21" s="92"/>
      <c r="AI21" s="33"/>
      <c r="AJ21" s="41"/>
      <c r="AK21" s="89"/>
      <c r="AL21" s="92"/>
      <c r="AM21" s="33"/>
      <c r="AN21" s="41"/>
      <c r="AO21" s="89"/>
      <c r="AP21" s="92"/>
      <c r="AQ21" s="33"/>
      <c r="AR21" s="41"/>
      <c r="AS21" s="89"/>
      <c r="AT21" s="270">
        <f t="shared" si="1"/>
        <v>14400</v>
      </c>
      <c r="AU21" s="38">
        <f t="shared" si="2"/>
        <v>4800</v>
      </c>
    </row>
    <row r="22" spans="2:47" s="26" customFormat="1" ht="22.5" x14ac:dyDescent="0.25">
      <c r="B22" s="276">
        <v>7</v>
      </c>
      <c r="C22" s="276" t="s">
        <v>39</v>
      </c>
      <c r="D22" s="28" t="s">
        <v>315</v>
      </c>
      <c r="E22" s="304" t="s">
        <v>314</v>
      </c>
      <c r="F22" s="304" t="s">
        <v>193</v>
      </c>
      <c r="G22" s="30" t="s">
        <v>146</v>
      </c>
      <c r="H22" s="30" t="s">
        <v>161</v>
      </c>
      <c r="I22" s="274" t="s">
        <v>72</v>
      </c>
      <c r="J22" s="305">
        <f>1567287</f>
        <v>1567287</v>
      </c>
      <c r="K22" s="31">
        <f>16439</f>
        <v>16439</v>
      </c>
      <c r="L22" s="31">
        <f>617430</f>
        <v>617430</v>
      </c>
      <c r="M22" s="31">
        <v>0</v>
      </c>
      <c r="N22" s="31">
        <v>0</v>
      </c>
      <c r="O22" s="31">
        <v>103445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0"/>
        <v>103445</v>
      </c>
      <c r="Z22" s="32">
        <f>932990</f>
        <v>932990</v>
      </c>
      <c r="AA22" s="104" t="s">
        <v>177</v>
      </c>
      <c r="AB22" s="34">
        <v>44209</v>
      </c>
      <c r="AC22" s="89">
        <v>44243</v>
      </c>
      <c r="AD22" s="32"/>
      <c r="AE22" s="35"/>
      <c r="AF22" s="36"/>
      <c r="AG22" s="89"/>
      <c r="AH22" s="32"/>
      <c r="AI22" s="33"/>
      <c r="AJ22" s="36"/>
      <c r="AK22" s="89"/>
      <c r="AL22" s="32"/>
      <c r="AM22" s="33"/>
      <c r="AN22" s="36"/>
      <c r="AO22" s="89"/>
      <c r="AP22" s="32"/>
      <c r="AQ22" s="33"/>
      <c r="AR22" s="36"/>
      <c r="AS22" s="89"/>
      <c r="AT22" s="270">
        <f t="shared" si="1"/>
        <v>932990</v>
      </c>
      <c r="AU22" s="38">
        <f t="shared" si="2"/>
        <v>829545</v>
      </c>
    </row>
    <row r="23" spans="2:47" s="26" customFormat="1" ht="22.5" x14ac:dyDescent="0.25">
      <c r="B23" s="276">
        <v>8</v>
      </c>
      <c r="C23" s="276" t="s">
        <v>39</v>
      </c>
      <c r="D23" s="28" t="s">
        <v>313</v>
      </c>
      <c r="E23" s="304" t="s">
        <v>312</v>
      </c>
      <c r="F23" s="304" t="s">
        <v>193</v>
      </c>
      <c r="G23" s="30" t="s">
        <v>146</v>
      </c>
      <c r="H23" s="42" t="s">
        <v>236</v>
      </c>
      <c r="I23" s="274" t="s">
        <v>57</v>
      </c>
      <c r="J23" s="305">
        <v>44239</v>
      </c>
      <c r="K23" s="31">
        <f>2623</f>
        <v>2623</v>
      </c>
      <c r="L23" s="31">
        <f>0</f>
        <v>0</v>
      </c>
      <c r="M23" s="31">
        <v>0</v>
      </c>
      <c r="N23" s="31">
        <v>0</v>
      </c>
      <c r="O23" s="31">
        <v>0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0"/>
        <v>0</v>
      </c>
      <c r="Z23" s="32">
        <f>41615</f>
        <v>41615</v>
      </c>
      <c r="AA23" s="104" t="s">
        <v>177</v>
      </c>
      <c r="AB23" s="34">
        <v>44209</v>
      </c>
      <c r="AC23" s="89">
        <v>44243</v>
      </c>
      <c r="AD23" s="32"/>
      <c r="AE23" s="35"/>
      <c r="AF23" s="36"/>
      <c r="AG23" s="89"/>
      <c r="AH23" s="32"/>
      <c r="AI23" s="33"/>
      <c r="AJ23" s="36"/>
      <c r="AK23" s="89"/>
      <c r="AL23" s="32"/>
      <c r="AM23" s="33"/>
      <c r="AN23" s="36"/>
      <c r="AO23" s="89"/>
      <c r="AP23" s="32"/>
      <c r="AQ23" s="33"/>
      <c r="AR23" s="36"/>
      <c r="AS23" s="89"/>
      <c r="AT23" s="270">
        <f t="shared" si="1"/>
        <v>41615</v>
      </c>
      <c r="AU23" s="38">
        <f t="shared" si="2"/>
        <v>41615</v>
      </c>
    </row>
    <row r="24" spans="2:47" s="26" customFormat="1" ht="23.25" customHeight="1" x14ac:dyDescent="0.25">
      <c r="B24" s="276">
        <v>9</v>
      </c>
      <c r="C24" s="276" t="s">
        <v>39</v>
      </c>
      <c r="D24" s="28" t="s">
        <v>311</v>
      </c>
      <c r="E24" s="304" t="s">
        <v>310</v>
      </c>
      <c r="F24" s="304" t="s">
        <v>147</v>
      </c>
      <c r="G24" s="30" t="s">
        <v>146</v>
      </c>
      <c r="H24" s="42" t="s">
        <v>145</v>
      </c>
      <c r="I24" s="274" t="s">
        <v>57</v>
      </c>
      <c r="J24" s="305">
        <f>5191539</f>
        <v>5191539</v>
      </c>
      <c r="K24" s="31">
        <f>207679</f>
        <v>207679</v>
      </c>
      <c r="L24" s="31">
        <f>2000427</f>
        <v>2000427</v>
      </c>
      <c r="M24" s="31">
        <v>0</v>
      </c>
      <c r="N24" s="31">
        <v>556706</v>
      </c>
      <c r="O24" s="31">
        <v>273886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0"/>
        <v>830592</v>
      </c>
      <c r="Z24" s="32">
        <f>20291+1626150</f>
        <v>1646441</v>
      </c>
      <c r="AA24" s="104" t="s">
        <v>177</v>
      </c>
      <c r="AB24" s="34">
        <v>44209</v>
      </c>
      <c r="AC24" s="89">
        <v>44243</v>
      </c>
      <c r="AD24" s="32"/>
      <c r="AE24" s="35"/>
      <c r="AF24" s="36"/>
      <c r="AG24" s="89"/>
      <c r="AH24" s="32"/>
      <c r="AI24" s="33"/>
      <c r="AJ24" s="36"/>
      <c r="AK24" s="89"/>
      <c r="AL24" s="32"/>
      <c r="AM24" s="33"/>
      <c r="AN24" s="36"/>
      <c r="AO24" s="89"/>
      <c r="AP24" s="32"/>
      <c r="AQ24" s="33"/>
      <c r="AR24" s="36"/>
      <c r="AS24" s="89"/>
      <c r="AT24" s="270">
        <f t="shared" si="1"/>
        <v>1646441</v>
      </c>
      <c r="AU24" s="38">
        <f t="shared" si="2"/>
        <v>815849</v>
      </c>
    </row>
    <row r="25" spans="2:47" s="26" customFormat="1" x14ac:dyDescent="0.25">
      <c r="B25" s="276">
        <v>10</v>
      </c>
      <c r="C25" s="276" t="s">
        <v>39</v>
      </c>
      <c r="D25" s="28" t="s">
        <v>309</v>
      </c>
      <c r="E25" s="304" t="s">
        <v>308</v>
      </c>
      <c r="F25" s="304" t="s">
        <v>147</v>
      </c>
      <c r="G25" s="30" t="s">
        <v>146</v>
      </c>
      <c r="H25" s="42" t="s">
        <v>243</v>
      </c>
      <c r="I25" s="274" t="s">
        <v>72</v>
      </c>
      <c r="J25" s="305">
        <f>1371520</f>
        <v>1371520</v>
      </c>
      <c r="K25" s="31">
        <f>9566</f>
        <v>9566</v>
      </c>
      <c r="L25" s="31">
        <f>608844</f>
        <v>608844</v>
      </c>
      <c r="M25" s="31">
        <v>0</v>
      </c>
      <c r="N25" s="31">
        <v>241074</v>
      </c>
      <c r="O25" s="31">
        <v>91533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0"/>
        <v>332607</v>
      </c>
      <c r="Z25" s="32">
        <f>8644+720321</f>
        <v>728965</v>
      </c>
      <c r="AA25" s="104" t="s">
        <v>177</v>
      </c>
      <c r="AB25" s="34">
        <v>44209</v>
      </c>
      <c r="AC25" s="89">
        <v>44243</v>
      </c>
      <c r="AD25" s="32"/>
      <c r="AE25" s="35"/>
      <c r="AF25" s="36"/>
      <c r="AG25" s="89"/>
      <c r="AH25" s="32"/>
      <c r="AI25" s="33"/>
      <c r="AJ25" s="36"/>
      <c r="AK25" s="89"/>
      <c r="AL25" s="32"/>
      <c r="AM25" s="33"/>
      <c r="AN25" s="36"/>
      <c r="AO25" s="89"/>
      <c r="AP25" s="32"/>
      <c r="AQ25" s="33"/>
      <c r="AR25" s="36"/>
      <c r="AS25" s="89"/>
      <c r="AT25" s="270">
        <f t="shared" si="1"/>
        <v>728965</v>
      </c>
      <c r="AU25" s="38">
        <f t="shared" si="2"/>
        <v>396358</v>
      </c>
    </row>
    <row r="26" spans="2:47" s="26" customFormat="1" ht="22.5" x14ac:dyDescent="0.25">
      <c r="B26" s="276">
        <v>11</v>
      </c>
      <c r="C26" s="276" t="s">
        <v>39</v>
      </c>
      <c r="D26" s="28" t="s">
        <v>307</v>
      </c>
      <c r="E26" s="304" t="s">
        <v>306</v>
      </c>
      <c r="F26" s="304" t="s">
        <v>147</v>
      </c>
      <c r="G26" s="30" t="s">
        <v>146</v>
      </c>
      <c r="H26" s="42" t="s">
        <v>146</v>
      </c>
      <c r="I26" s="274" t="s">
        <v>57</v>
      </c>
      <c r="J26" s="305">
        <f>237431</f>
        <v>237431</v>
      </c>
      <c r="K26" s="31">
        <f>203167</f>
        <v>203167</v>
      </c>
      <c r="L26" s="31">
        <f>0</f>
        <v>0</v>
      </c>
      <c r="M26" s="31">
        <v>0</v>
      </c>
      <c r="N26" s="31">
        <v>19142</v>
      </c>
      <c r="O26" s="31">
        <f>0</f>
        <v>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0"/>
        <v>19142</v>
      </c>
      <c r="Z26" s="32">
        <f>19143+7414+4414</f>
        <v>30971</v>
      </c>
      <c r="AA26" s="104" t="s">
        <v>177</v>
      </c>
      <c r="AB26" s="34">
        <v>44209</v>
      </c>
      <c r="AC26" s="89">
        <v>44243</v>
      </c>
      <c r="AD26" s="32"/>
      <c r="AE26" s="35"/>
      <c r="AF26" s="36"/>
      <c r="AG26" s="89"/>
      <c r="AH26" s="32"/>
      <c r="AI26" s="33"/>
      <c r="AJ26" s="36"/>
      <c r="AK26" s="89"/>
      <c r="AL26" s="32"/>
      <c r="AM26" s="33"/>
      <c r="AN26" s="36"/>
      <c r="AO26" s="89"/>
      <c r="AP26" s="32"/>
      <c r="AQ26" s="33"/>
      <c r="AR26" s="36"/>
      <c r="AS26" s="89"/>
      <c r="AT26" s="270">
        <f t="shared" si="1"/>
        <v>30971</v>
      </c>
      <c r="AU26" s="38">
        <f t="shared" si="2"/>
        <v>11829</v>
      </c>
    </row>
    <row r="27" spans="2:47" s="26" customFormat="1" ht="22.5" x14ac:dyDescent="0.25">
      <c r="B27" s="276">
        <v>12</v>
      </c>
      <c r="C27" s="276" t="s">
        <v>39</v>
      </c>
      <c r="D27" s="28" t="s">
        <v>305</v>
      </c>
      <c r="E27" s="304" t="s">
        <v>304</v>
      </c>
      <c r="F27" s="304" t="s">
        <v>147</v>
      </c>
      <c r="G27" s="30" t="s">
        <v>146</v>
      </c>
      <c r="H27" s="42" t="s">
        <v>150</v>
      </c>
      <c r="I27" s="274" t="s">
        <v>57</v>
      </c>
      <c r="J27" s="305">
        <f>784112</f>
        <v>784112</v>
      </c>
      <c r="K27" s="31">
        <f>5888</f>
        <v>5888</v>
      </c>
      <c r="L27" s="31">
        <f>87263</f>
        <v>87263</v>
      </c>
      <c r="M27" s="31">
        <f>0</f>
        <v>0</v>
      </c>
      <c r="N27" s="31">
        <v>105193</v>
      </c>
      <c r="O27" s="31">
        <f>73899</f>
        <v>73899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0"/>
        <v>179092</v>
      </c>
      <c r="Z27" s="32">
        <f>20990+669971</f>
        <v>690961</v>
      </c>
      <c r="AA27" s="104" t="s">
        <v>177</v>
      </c>
      <c r="AB27" s="34">
        <v>44209</v>
      </c>
      <c r="AC27" s="89">
        <v>44243</v>
      </c>
      <c r="AD27" s="32"/>
      <c r="AE27" s="35"/>
      <c r="AF27" s="36"/>
      <c r="AG27" s="89"/>
      <c r="AH27" s="32"/>
      <c r="AI27" s="33"/>
      <c r="AJ27" s="36"/>
      <c r="AK27" s="89"/>
      <c r="AL27" s="32"/>
      <c r="AM27" s="33"/>
      <c r="AN27" s="36"/>
      <c r="AO27" s="89"/>
      <c r="AP27" s="32"/>
      <c r="AQ27" s="33"/>
      <c r="AR27" s="36"/>
      <c r="AS27" s="89"/>
      <c r="AT27" s="270">
        <f t="shared" si="1"/>
        <v>690961</v>
      </c>
      <c r="AU27" s="38">
        <f t="shared" si="2"/>
        <v>511869</v>
      </c>
    </row>
    <row r="28" spans="2:47" s="26" customFormat="1" ht="22.5" x14ac:dyDescent="0.25">
      <c r="B28" s="276">
        <v>13</v>
      </c>
      <c r="C28" s="276" t="s">
        <v>39</v>
      </c>
      <c r="D28" s="28" t="s">
        <v>303</v>
      </c>
      <c r="E28" s="304" t="s">
        <v>302</v>
      </c>
      <c r="F28" s="304" t="s">
        <v>147</v>
      </c>
      <c r="G28" s="30" t="s">
        <v>146</v>
      </c>
      <c r="H28" s="42" t="s">
        <v>146</v>
      </c>
      <c r="I28" s="274" t="s">
        <v>57</v>
      </c>
      <c r="J28" s="305">
        <f>4590307</f>
        <v>4590307</v>
      </c>
      <c r="K28" s="31">
        <f>4480641</f>
        <v>4480641</v>
      </c>
      <c r="L28" s="31">
        <f>0</f>
        <v>0</v>
      </c>
      <c r="M28" s="31">
        <f>0</f>
        <v>0</v>
      </c>
      <c r="N28" s="31">
        <f>340</f>
        <v>340</v>
      </c>
      <c r="O28" s="31">
        <f>0</f>
        <v>0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0"/>
        <v>340</v>
      </c>
      <c r="Z28" s="32">
        <f>67854+41811</f>
        <v>109665</v>
      </c>
      <c r="AA28" s="104" t="s">
        <v>177</v>
      </c>
      <c r="AB28" s="34">
        <v>44209</v>
      </c>
      <c r="AC28" s="89">
        <v>44243</v>
      </c>
      <c r="AD28" s="32"/>
      <c r="AE28" s="35"/>
      <c r="AF28" s="36"/>
      <c r="AG28" s="89"/>
      <c r="AH28" s="32"/>
      <c r="AI28" s="33"/>
      <c r="AJ28" s="36"/>
      <c r="AK28" s="89"/>
      <c r="AL28" s="32"/>
      <c r="AM28" s="33"/>
      <c r="AN28" s="36"/>
      <c r="AO28" s="89"/>
      <c r="AP28" s="32"/>
      <c r="AQ28" s="33"/>
      <c r="AR28" s="36"/>
      <c r="AS28" s="89"/>
      <c r="AT28" s="270">
        <f t="shared" si="1"/>
        <v>109665</v>
      </c>
      <c r="AU28" s="38">
        <f t="shared" si="2"/>
        <v>109325</v>
      </c>
    </row>
    <row r="29" spans="2:47" s="26" customFormat="1" ht="22.5" x14ac:dyDescent="0.25">
      <c r="B29" s="276">
        <v>14</v>
      </c>
      <c r="C29" s="276" t="s">
        <v>39</v>
      </c>
      <c r="D29" s="28" t="s">
        <v>301</v>
      </c>
      <c r="E29" s="304" t="s">
        <v>300</v>
      </c>
      <c r="F29" s="304" t="s">
        <v>147</v>
      </c>
      <c r="G29" s="30" t="s">
        <v>146</v>
      </c>
      <c r="H29" s="42" t="s">
        <v>146</v>
      </c>
      <c r="I29" s="274" t="s">
        <v>57</v>
      </c>
      <c r="J29" s="305">
        <f>5646187</f>
        <v>5646187</v>
      </c>
      <c r="K29" s="31">
        <f>5527243</f>
        <v>5527243</v>
      </c>
      <c r="L29" s="31">
        <f>0</f>
        <v>0</v>
      </c>
      <c r="M29" s="31">
        <f>0</f>
        <v>0</v>
      </c>
      <c r="N29" s="31">
        <f>0</f>
        <v>0</v>
      </c>
      <c r="O29" s="31">
        <f>947</f>
        <v>947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0"/>
        <v>947</v>
      </c>
      <c r="Z29" s="32">
        <f>95588+23356</f>
        <v>118944</v>
      </c>
      <c r="AA29" s="104" t="s">
        <v>177</v>
      </c>
      <c r="AB29" s="34">
        <v>44209</v>
      </c>
      <c r="AC29" s="89">
        <v>44243</v>
      </c>
      <c r="AD29" s="32"/>
      <c r="AE29" s="35"/>
      <c r="AF29" s="36"/>
      <c r="AG29" s="89"/>
      <c r="AH29" s="32"/>
      <c r="AI29" s="33"/>
      <c r="AJ29" s="36"/>
      <c r="AK29" s="89"/>
      <c r="AL29" s="32"/>
      <c r="AM29" s="33"/>
      <c r="AN29" s="36"/>
      <c r="AO29" s="89"/>
      <c r="AP29" s="32"/>
      <c r="AQ29" s="33"/>
      <c r="AR29" s="36"/>
      <c r="AS29" s="89"/>
      <c r="AT29" s="270">
        <f t="shared" si="1"/>
        <v>118944</v>
      </c>
      <c r="AU29" s="38">
        <f t="shared" si="2"/>
        <v>117997</v>
      </c>
    </row>
    <row r="30" spans="2:47" s="26" customFormat="1" x14ac:dyDescent="0.25">
      <c r="B30" s="276">
        <v>15</v>
      </c>
      <c r="C30" s="276" t="s">
        <v>39</v>
      </c>
      <c r="D30" s="28" t="s">
        <v>299</v>
      </c>
      <c r="E30" s="304" t="s">
        <v>298</v>
      </c>
      <c r="F30" s="304" t="s">
        <v>147</v>
      </c>
      <c r="G30" s="30" t="s">
        <v>146</v>
      </c>
      <c r="H30" s="42" t="s">
        <v>236</v>
      </c>
      <c r="I30" s="274" t="s">
        <v>57</v>
      </c>
      <c r="J30" s="305">
        <f>5231488</f>
        <v>5231488</v>
      </c>
      <c r="K30" s="31">
        <f>5177411</f>
        <v>5177411</v>
      </c>
      <c r="L30" s="31">
        <f>0</f>
        <v>0</v>
      </c>
      <c r="M30" s="31">
        <f>0</f>
        <v>0</v>
      </c>
      <c r="N30" s="31">
        <f>0</f>
        <v>0</v>
      </c>
      <c r="O30" s="31">
        <f>0</f>
        <v>0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0"/>
        <v>0</v>
      </c>
      <c r="Z30" s="32">
        <f>53260+814</f>
        <v>54074</v>
      </c>
      <c r="AA30" s="104" t="s">
        <v>177</v>
      </c>
      <c r="AB30" s="34">
        <v>44209</v>
      </c>
      <c r="AC30" s="89">
        <v>44243</v>
      </c>
      <c r="AD30" s="32"/>
      <c r="AE30" s="35"/>
      <c r="AF30" s="36"/>
      <c r="AG30" s="89"/>
      <c r="AH30" s="32"/>
      <c r="AI30" s="33"/>
      <c r="AJ30" s="36"/>
      <c r="AK30" s="89"/>
      <c r="AL30" s="32"/>
      <c r="AM30" s="33"/>
      <c r="AN30" s="36"/>
      <c r="AO30" s="89"/>
      <c r="AP30" s="32"/>
      <c r="AQ30" s="33"/>
      <c r="AR30" s="36"/>
      <c r="AS30" s="89"/>
      <c r="AT30" s="270">
        <f t="shared" si="1"/>
        <v>54074</v>
      </c>
      <c r="AU30" s="38">
        <f t="shared" si="2"/>
        <v>54074</v>
      </c>
    </row>
    <row r="31" spans="2:47" s="26" customFormat="1" ht="22.5" x14ac:dyDescent="0.25">
      <c r="B31" s="276">
        <v>16</v>
      </c>
      <c r="C31" s="276" t="s">
        <v>39</v>
      </c>
      <c r="D31" s="28" t="s">
        <v>297</v>
      </c>
      <c r="E31" s="304" t="s">
        <v>296</v>
      </c>
      <c r="F31" s="304" t="s">
        <v>147</v>
      </c>
      <c r="G31" s="30" t="s">
        <v>146</v>
      </c>
      <c r="H31" s="42" t="s">
        <v>174</v>
      </c>
      <c r="I31" s="274" t="s">
        <v>57</v>
      </c>
      <c r="J31" s="305">
        <f>706892-197811</f>
        <v>509081</v>
      </c>
      <c r="K31" s="31">
        <f>7081</f>
        <v>7081</v>
      </c>
      <c r="L31" s="31">
        <f>0</f>
        <v>0</v>
      </c>
      <c r="M31" s="31">
        <f>0</f>
        <v>0</v>
      </c>
      <c r="N31" s="31">
        <f>0</f>
        <v>0</v>
      </c>
      <c r="O31" s="31">
        <f>259606</f>
        <v>259606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0"/>
        <v>259606</v>
      </c>
      <c r="Z31" s="32">
        <f>502000</f>
        <v>502000</v>
      </c>
      <c r="AA31" s="104" t="s">
        <v>177</v>
      </c>
      <c r="AB31" s="34">
        <v>44209</v>
      </c>
      <c r="AC31" s="89">
        <v>44243</v>
      </c>
      <c r="AD31" s="32"/>
      <c r="AE31" s="35"/>
      <c r="AF31" s="36"/>
      <c r="AG31" s="89"/>
      <c r="AH31" s="32"/>
      <c r="AI31" s="33"/>
      <c r="AJ31" s="36"/>
      <c r="AK31" s="89"/>
      <c r="AL31" s="32"/>
      <c r="AM31" s="33"/>
      <c r="AN31" s="36"/>
      <c r="AO31" s="89"/>
      <c r="AP31" s="32"/>
      <c r="AQ31" s="33"/>
      <c r="AR31" s="36"/>
      <c r="AS31" s="89"/>
      <c r="AT31" s="270">
        <f t="shared" si="1"/>
        <v>502000</v>
      </c>
      <c r="AU31" s="38">
        <f t="shared" si="2"/>
        <v>242394</v>
      </c>
    </row>
    <row r="32" spans="2:47" s="26" customFormat="1" x14ac:dyDescent="0.25">
      <c r="B32" s="276">
        <v>17</v>
      </c>
      <c r="C32" s="276" t="s">
        <v>39</v>
      </c>
      <c r="D32" s="28" t="s">
        <v>295</v>
      </c>
      <c r="E32" s="304" t="s">
        <v>294</v>
      </c>
      <c r="F32" s="304" t="s">
        <v>147</v>
      </c>
      <c r="G32" s="30" t="s">
        <v>146</v>
      </c>
      <c r="H32" s="42" t="s">
        <v>263</v>
      </c>
      <c r="I32" s="274" t="s">
        <v>57</v>
      </c>
      <c r="J32" s="305">
        <f>3363212</f>
        <v>3363212</v>
      </c>
      <c r="K32" s="31">
        <f>3271746</f>
        <v>3271746</v>
      </c>
      <c r="L32" s="31">
        <f>0</f>
        <v>0</v>
      </c>
      <c r="M32" s="31">
        <f>0</f>
        <v>0</v>
      </c>
      <c r="N32" s="31">
        <f>11984</f>
        <v>11984</v>
      </c>
      <c r="O32" s="31">
        <f>0</f>
        <v>0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0"/>
        <v>11984</v>
      </c>
      <c r="Z32" s="32">
        <f>39932+51534</f>
        <v>91466</v>
      </c>
      <c r="AA32" s="104" t="s">
        <v>177</v>
      </c>
      <c r="AB32" s="34">
        <v>44209</v>
      </c>
      <c r="AC32" s="89">
        <v>44243</v>
      </c>
      <c r="AD32" s="32"/>
      <c r="AE32" s="35"/>
      <c r="AF32" s="36"/>
      <c r="AG32" s="89"/>
      <c r="AH32" s="32"/>
      <c r="AI32" s="33"/>
      <c r="AJ32" s="36"/>
      <c r="AK32" s="89"/>
      <c r="AL32" s="32"/>
      <c r="AM32" s="33"/>
      <c r="AN32" s="36"/>
      <c r="AO32" s="89"/>
      <c r="AP32" s="32"/>
      <c r="AQ32" s="33"/>
      <c r="AR32" s="36"/>
      <c r="AS32" s="89"/>
      <c r="AT32" s="270">
        <f t="shared" si="1"/>
        <v>91466</v>
      </c>
      <c r="AU32" s="38">
        <f t="shared" si="2"/>
        <v>79482</v>
      </c>
    </row>
    <row r="33" spans="2:47" s="26" customFormat="1" ht="22.5" x14ac:dyDescent="0.25">
      <c r="B33" s="276">
        <v>18</v>
      </c>
      <c r="C33" s="276" t="s">
        <v>39</v>
      </c>
      <c r="D33" s="28" t="s">
        <v>293</v>
      </c>
      <c r="E33" s="304" t="s">
        <v>292</v>
      </c>
      <c r="F33" s="304" t="s">
        <v>147</v>
      </c>
      <c r="G33" s="30" t="s">
        <v>146</v>
      </c>
      <c r="H33" s="42" t="s">
        <v>201</v>
      </c>
      <c r="I33" s="274" t="s">
        <v>57</v>
      </c>
      <c r="J33" s="305">
        <f>1057448</f>
        <v>1057448</v>
      </c>
      <c r="K33" s="31">
        <f>829027</f>
        <v>829027</v>
      </c>
      <c r="L33" s="31">
        <f>35311</f>
        <v>35311</v>
      </c>
      <c r="M33" s="31">
        <f>0</f>
        <v>0</v>
      </c>
      <c r="N33" s="31">
        <f>0</f>
        <v>0</v>
      </c>
      <c r="O33" s="31">
        <f>0</f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0"/>
        <v>0</v>
      </c>
      <c r="Z33" s="32">
        <f>68620+124490</f>
        <v>193110</v>
      </c>
      <c r="AA33" s="104" t="s">
        <v>177</v>
      </c>
      <c r="AB33" s="34">
        <v>44209</v>
      </c>
      <c r="AC33" s="89">
        <v>44243</v>
      </c>
      <c r="AD33" s="32"/>
      <c r="AE33" s="35"/>
      <c r="AF33" s="36"/>
      <c r="AG33" s="89"/>
      <c r="AH33" s="32"/>
      <c r="AI33" s="33"/>
      <c r="AJ33" s="36"/>
      <c r="AK33" s="89"/>
      <c r="AL33" s="32"/>
      <c r="AM33" s="33"/>
      <c r="AN33" s="36"/>
      <c r="AO33" s="89"/>
      <c r="AP33" s="32"/>
      <c r="AQ33" s="33"/>
      <c r="AR33" s="36"/>
      <c r="AS33" s="89"/>
      <c r="AT33" s="270">
        <f t="shared" si="1"/>
        <v>193110</v>
      </c>
      <c r="AU33" s="38">
        <f t="shared" si="2"/>
        <v>193110</v>
      </c>
    </row>
    <row r="34" spans="2:47" s="26" customFormat="1" ht="22.5" x14ac:dyDescent="0.25">
      <c r="B34" s="276">
        <v>19</v>
      </c>
      <c r="C34" s="276" t="s">
        <v>39</v>
      </c>
      <c r="D34" s="28" t="s">
        <v>291</v>
      </c>
      <c r="E34" s="304" t="s">
        <v>290</v>
      </c>
      <c r="F34" s="304" t="s">
        <v>147</v>
      </c>
      <c r="G34" s="30" t="s">
        <v>146</v>
      </c>
      <c r="H34" s="42" t="s">
        <v>150</v>
      </c>
      <c r="I34" s="274" t="s">
        <v>57</v>
      </c>
      <c r="J34" s="305">
        <f>1595553</f>
        <v>1595553</v>
      </c>
      <c r="K34" s="31">
        <f>87504</f>
        <v>87504</v>
      </c>
      <c r="L34" s="31">
        <f>19299</f>
        <v>19299</v>
      </c>
      <c r="M34" s="31">
        <f>0</f>
        <v>0</v>
      </c>
      <c r="N34" s="31">
        <f>210568</f>
        <v>210568</v>
      </c>
      <c r="O34" s="31">
        <f>102831</f>
        <v>102831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0"/>
        <v>313399</v>
      </c>
      <c r="Z34" s="32">
        <f>15524+1469352</f>
        <v>1484876</v>
      </c>
      <c r="AA34" s="104" t="s">
        <v>177</v>
      </c>
      <c r="AB34" s="34">
        <v>44209</v>
      </c>
      <c r="AC34" s="89">
        <v>44243</v>
      </c>
      <c r="AD34" s="32"/>
      <c r="AE34" s="35"/>
      <c r="AF34" s="36"/>
      <c r="AG34" s="89"/>
      <c r="AH34" s="32"/>
      <c r="AI34" s="33"/>
      <c r="AJ34" s="36"/>
      <c r="AK34" s="89"/>
      <c r="AL34" s="32"/>
      <c r="AM34" s="33"/>
      <c r="AN34" s="36"/>
      <c r="AO34" s="89"/>
      <c r="AP34" s="32"/>
      <c r="AQ34" s="33"/>
      <c r="AR34" s="36"/>
      <c r="AS34" s="89"/>
      <c r="AT34" s="270">
        <f t="shared" si="1"/>
        <v>1484876</v>
      </c>
      <c r="AU34" s="38">
        <f t="shared" si="2"/>
        <v>1171477</v>
      </c>
    </row>
    <row r="35" spans="2:47" s="26" customFormat="1" x14ac:dyDescent="0.25">
      <c r="B35" s="276">
        <v>20</v>
      </c>
      <c r="C35" s="276" t="s">
        <v>39</v>
      </c>
      <c r="D35" s="28" t="s">
        <v>289</v>
      </c>
      <c r="E35" s="304" t="s">
        <v>288</v>
      </c>
      <c r="F35" s="304" t="s">
        <v>193</v>
      </c>
      <c r="G35" s="30" t="s">
        <v>146</v>
      </c>
      <c r="H35" s="42" t="s">
        <v>243</v>
      </c>
      <c r="I35" s="274" t="s">
        <v>57</v>
      </c>
      <c r="J35" s="305">
        <f>45143</f>
        <v>45143</v>
      </c>
      <c r="K35" s="31">
        <f>30893</f>
        <v>30893</v>
      </c>
      <c r="L35" s="31">
        <f>0</f>
        <v>0</v>
      </c>
      <c r="M35" s="31">
        <f>0</f>
        <v>0</v>
      </c>
      <c r="N35" s="31">
        <f>0</f>
        <v>0</v>
      </c>
      <c r="O35" s="31">
        <f>0</f>
        <v>0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0"/>
        <v>0</v>
      </c>
      <c r="Z35" s="32">
        <f>14250</f>
        <v>14250</v>
      </c>
      <c r="AA35" s="104" t="s">
        <v>177</v>
      </c>
      <c r="AB35" s="34">
        <v>44209</v>
      </c>
      <c r="AC35" s="89">
        <v>44243</v>
      </c>
      <c r="AD35" s="32"/>
      <c r="AE35" s="35"/>
      <c r="AF35" s="36"/>
      <c r="AG35" s="89"/>
      <c r="AH35" s="32"/>
      <c r="AI35" s="33"/>
      <c r="AJ35" s="36"/>
      <c r="AK35" s="89"/>
      <c r="AL35" s="32"/>
      <c r="AM35" s="33"/>
      <c r="AN35" s="36"/>
      <c r="AO35" s="89"/>
      <c r="AP35" s="32"/>
      <c r="AQ35" s="33"/>
      <c r="AR35" s="36"/>
      <c r="AS35" s="89"/>
      <c r="AT35" s="270">
        <f t="shared" si="1"/>
        <v>14250</v>
      </c>
      <c r="AU35" s="38">
        <f t="shared" si="2"/>
        <v>14250</v>
      </c>
    </row>
    <row r="36" spans="2:47" s="26" customFormat="1" x14ac:dyDescent="0.25">
      <c r="B36" s="276">
        <v>21</v>
      </c>
      <c r="C36" s="276" t="s">
        <v>39</v>
      </c>
      <c r="D36" s="28" t="s">
        <v>287</v>
      </c>
      <c r="E36" s="304" t="s">
        <v>286</v>
      </c>
      <c r="F36" s="304" t="s">
        <v>147</v>
      </c>
      <c r="G36" s="30" t="s">
        <v>146</v>
      </c>
      <c r="H36" s="42" t="s">
        <v>201</v>
      </c>
      <c r="I36" s="274" t="s">
        <v>57</v>
      </c>
      <c r="J36" s="305">
        <f>4639030</f>
        <v>4639030</v>
      </c>
      <c r="K36" s="31">
        <f>3916953</f>
        <v>3916953</v>
      </c>
      <c r="L36" s="31">
        <f>0</f>
        <v>0</v>
      </c>
      <c r="M36" s="31">
        <f>0</f>
        <v>0</v>
      </c>
      <c r="N36" s="31">
        <f>22491</f>
        <v>22491</v>
      </c>
      <c r="O36" s="31">
        <f>0</f>
        <v>0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0"/>
        <v>22491</v>
      </c>
      <c r="Z36" s="32">
        <f>88259+600037</f>
        <v>688296</v>
      </c>
      <c r="AA36" s="104" t="s">
        <v>177</v>
      </c>
      <c r="AB36" s="34">
        <v>44209</v>
      </c>
      <c r="AC36" s="89">
        <v>44243</v>
      </c>
      <c r="AD36" s="32"/>
      <c r="AE36" s="35"/>
      <c r="AF36" s="36"/>
      <c r="AG36" s="89"/>
      <c r="AH36" s="32"/>
      <c r="AI36" s="33"/>
      <c r="AJ36" s="36"/>
      <c r="AK36" s="89"/>
      <c r="AL36" s="32"/>
      <c r="AM36" s="33"/>
      <c r="AN36" s="36"/>
      <c r="AO36" s="89"/>
      <c r="AP36" s="32"/>
      <c r="AQ36" s="33"/>
      <c r="AR36" s="36"/>
      <c r="AS36" s="89"/>
      <c r="AT36" s="270">
        <f t="shared" si="1"/>
        <v>688296</v>
      </c>
      <c r="AU36" s="38">
        <f t="shared" si="2"/>
        <v>665805</v>
      </c>
    </row>
    <row r="37" spans="2:47" s="26" customFormat="1" ht="22.5" x14ac:dyDescent="0.25">
      <c r="B37" s="276">
        <v>22</v>
      </c>
      <c r="C37" s="276" t="s">
        <v>39</v>
      </c>
      <c r="D37" s="28" t="s">
        <v>285</v>
      </c>
      <c r="E37" s="304" t="s">
        <v>284</v>
      </c>
      <c r="F37" s="304" t="s">
        <v>193</v>
      </c>
      <c r="G37" s="30" t="s">
        <v>146</v>
      </c>
      <c r="H37" s="42" t="s">
        <v>201</v>
      </c>
      <c r="I37" s="274" t="s">
        <v>57</v>
      </c>
      <c r="J37" s="305">
        <f>168053</f>
        <v>168053</v>
      </c>
      <c r="K37" s="31">
        <f>120328</f>
        <v>120328</v>
      </c>
      <c r="L37" s="31">
        <f>0</f>
        <v>0</v>
      </c>
      <c r="M37" s="31">
        <f>0</f>
        <v>0</v>
      </c>
      <c r="N37" s="31">
        <f>0</f>
        <v>0</v>
      </c>
      <c r="O37" s="31">
        <f>0</f>
        <v>0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0"/>
        <v>0</v>
      </c>
      <c r="Z37" s="32">
        <f>47725</f>
        <v>47725</v>
      </c>
      <c r="AA37" s="104" t="s">
        <v>177</v>
      </c>
      <c r="AB37" s="34">
        <v>44209</v>
      </c>
      <c r="AC37" s="89">
        <v>44243</v>
      </c>
      <c r="AD37" s="32"/>
      <c r="AE37" s="35"/>
      <c r="AF37" s="36"/>
      <c r="AG37" s="89"/>
      <c r="AH37" s="32"/>
      <c r="AI37" s="33"/>
      <c r="AJ37" s="36"/>
      <c r="AK37" s="89"/>
      <c r="AL37" s="32"/>
      <c r="AM37" s="33"/>
      <c r="AN37" s="36"/>
      <c r="AO37" s="89"/>
      <c r="AP37" s="32"/>
      <c r="AQ37" s="33"/>
      <c r="AR37" s="36"/>
      <c r="AS37" s="89"/>
      <c r="AT37" s="270">
        <f t="shared" si="1"/>
        <v>47725</v>
      </c>
      <c r="AU37" s="38">
        <f t="shared" si="2"/>
        <v>47725</v>
      </c>
    </row>
    <row r="38" spans="2:47" s="26" customFormat="1" ht="22.5" x14ac:dyDescent="0.25">
      <c r="B38" s="276">
        <v>23</v>
      </c>
      <c r="C38" s="276" t="s">
        <v>39</v>
      </c>
      <c r="D38" s="28" t="s">
        <v>283</v>
      </c>
      <c r="E38" s="304" t="s">
        <v>282</v>
      </c>
      <c r="F38" s="304" t="s">
        <v>147</v>
      </c>
      <c r="G38" s="30" t="s">
        <v>146</v>
      </c>
      <c r="H38" s="42" t="s">
        <v>201</v>
      </c>
      <c r="I38" s="274" t="s">
        <v>57</v>
      </c>
      <c r="J38" s="305">
        <f>3274334</f>
        <v>3274334</v>
      </c>
      <c r="K38" s="31">
        <f>2861590</f>
        <v>2861590</v>
      </c>
      <c r="L38" s="31">
        <f>20349</f>
        <v>20349</v>
      </c>
      <c r="M38" s="31">
        <f>0</f>
        <v>0</v>
      </c>
      <c r="N38" s="31">
        <f>0</f>
        <v>0</v>
      </c>
      <c r="O38" s="31">
        <f>0</f>
        <v>0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0"/>
        <v>0</v>
      </c>
      <c r="Z38" s="32">
        <f>377268</f>
        <v>377268</v>
      </c>
      <c r="AA38" s="104" t="s">
        <v>177</v>
      </c>
      <c r="AB38" s="34">
        <v>44209</v>
      </c>
      <c r="AC38" s="89">
        <v>44243</v>
      </c>
      <c r="AD38" s="32"/>
      <c r="AE38" s="35"/>
      <c r="AF38" s="36"/>
      <c r="AG38" s="89"/>
      <c r="AH38" s="32"/>
      <c r="AI38" s="33"/>
      <c r="AJ38" s="36"/>
      <c r="AK38" s="89"/>
      <c r="AL38" s="32"/>
      <c r="AM38" s="33"/>
      <c r="AN38" s="36"/>
      <c r="AO38" s="89"/>
      <c r="AP38" s="32"/>
      <c r="AQ38" s="33"/>
      <c r="AR38" s="36"/>
      <c r="AS38" s="89"/>
      <c r="AT38" s="270">
        <f t="shared" si="1"/>
        <v>377268</v>
      </c>
      <c r="AU38" s="38">
        <f t="shared" si="2"/>
        <v>377268</v>
      </c>
    </row>
    <row r="39" spans="2:47" s="26" customFormat="1" ht="22.5" x14ac:dyDescent="0.25">
      <c r="B39" s="276">
        <v>24</v>
      </c>
      <c r="C39" s="276" t="s">
        <v>39</v>
      </c>
      <c r="D39" s="28" t="s">
        <v>281</v>
      </c>
      <c r="E39" s="304" t="s">
        <v>280</v>
      </c>
      <c r="F39" s="304" t="s">
        <v>147</v>
      </c>
      <c r="G39" s="30" t="s">
        <v>146</v>
      </c>
      <c r="H39" s="42" t="s">
        <v>201</v>
      </c>
      <c r="I39" s="274" t="s">
        <v>57</v>
      </c>
      <c r="J39" s="305">
        <f>4545257</f>
        <v>4545257</v>
      </c>
      <c r="K39" s="31">
        <f>1248804</f>
        <v>1248804</v>
      </c>
      <c r="L39" s="31">
        <f>295433</f>
        <v>295433</v>
      </c>
      <c r="M39" s="31">
        <f>0</f>
        <v>0</v>
      </c>
      <c r="N39" s="31">
        <f>1755716</f>
        <v>1755716</v>
      </c>
      <c r="O39" s="31">
        <f>0</f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0"/>
        <v>1755716</v>
      </c>
      <c r="Z39" s="32">
        <f>2500000</f>
        <v>2500000</v>
      </c>
      <c r="AA39" s="104" t="s">
        <v>177</v>
      </c>
      <c r="AB39" s="34">
        <v>44209</v>
      </c>
      <c r="AC39" s="89">
        <v>44243</v>
      </c>
      <c r="AD39" s="32"/>
      <c r="AE39" s="35"/>
      <c r="AF39" s="36"/>
      <c r="AG39" s="89"/>
      <c r="AH39" s="32"/>
      <c r="AI39" s="33"/>
      <c r="AJ39" s="36"/>
      <c r="AK39" s="89"/>
      <c r="AL39" s="32"/>
      <c r="AM39" s="33"/>
      <c r="AN39" s="36"/>
      <c r="AO39" s="89"/>
      <c r="AP39" s="32"/>
      <c r="AQ39" s="33"/>
      <c r="AR39" s="36"/>
      <c r="AS39" s="89"/>
      <c r="AT39" s="270">
        <f t="shared" si="1"/>
        <v>2500000</v>
      </c>
      <c r="AU39" s="38">
        <f t="shared" si="2"/>
        <v>744284</v>
      </c>
    </row>
    <row r="40" spans="2:47" s="26" customFormat="1" ht="22.5" customHeight="1" x14ac:dyDescent="0.25">
      <c r="B40" s="276">
        <v>25</v>
      </c>
      <c r="C40" s="276" t="s">
        <v>39</v>
      </c>
      <c r="D40" s="28" t="s">
        <v>279</v>
      </c>
      <c r="E40" s="304" t="s">
        <v>278</v>
      </c>
      <c r="F40" s="304" t="s">
        <v>147</v>
      </c>
      <c r="G40" s="30" t="s">
        <v>146</v>
      </c>
      <c r="H40" s="30" t="s">
        <v>146</v>
      </c>
      <c r="I40" s="274" t="s">
        <v>57</v>
      </c>
      <c r="J40" s="305">
        <f>5623369</f>
        <v>5623369</v>
      </c>
      <c r="K40" s="31">
        <f>5407444</f>
        <v>5407444</v>
      </c>
      <c r="L40" s="31">
        <f>2</f>
        <v>2</v>
      </c>
      <c r="M40" s="31">
        <f>0</f>
        <v>0</v>
      </c>
      <c r="N40" s="31">
        <f>0</f>
        <v>0</v>
      </c>
      <c r="O40" s="31">
        <f>0</f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0"/>
        <v>0</v>
      </c>
      <c r="Z40" s="32">
        <f>148564+67359</f>
        <v>215923</v>
      </c>
      <c r="AA40" s="104" t="s">
        <v>177</v>
      </c>
      <c r="AB40" s="34">
        <v>44209</v>
      </c>
      <c r="AC40" s="89">
        <v>44243</v>
      </c>
      <c r="AD40" s="32"/>
      <c r="AE40" s="35"/>
      <c r="AF40" s="36"/>
      <c r="AG40" s="89"/>
      <c r="AH40" s="32"/>
      <c r="AI40" s="33"/>
      <c r="AJ40" s="36"/>
      <c r="AK40" s="89"/>
      <c r="AL40" s="32"/>
      <c r="AM40" s="33"/>
      <c r="AN40" s="36"/>
      <c r="AO40" s="89"/>
      <c r="AP40" s="32"/>
      <c r="AQ40" s="33"/>
      <c r="AR40" s="36"/>
      <c r="AS40" s="89"/>
      <c r="AT40" s="270">
        <f t="shared" si="1"/>
        <v>215923</v>
      </c>
      <c r="AU40" s="38">
        <f t="shared" si="2"/>
        <v>215923</v>
      </c>
    </row>
    <row r="41" spans="2:47" s="26" customFormat="1" ht="22.5" x14ac:dyDescent="0.25">
      <c r="B41" s="276">
        <v>26</v>
      </c>
      <c r="C41" s="276" t="s">
        <v>39</v>
      </c>
      <c r="D41" s="28" t="s">
        <v>277</v>
      </c>
      <c r="E41" s="304" t="s">
        <v>276</v>
      </c>
      <c r="F41" s="304" t="s">
        <v>147</v>
      </c>
      <c r="G41" s="30" t="s">
        <v>146</v>
      </c>
      <c r="H41" s="42" t="s">
        <v>236</v>
      </c>
      <c r="I41" s="274" t="s">
        <v>57</v>
      </c>
      <c r="J41" s="305">
        <f>646779</f>
        <v>646779</v>
      </c>
      <c r="K41" s="31">
        <f>597258</f>
        <v>597258</v>
      </c>
      <c r="L41" s="31">
        <f>2</f>
        <v>2</v>
      </c>
      <c r="M41" s="31">
        <f>0</f>
        <v>0</v>
      </c>
      <c r="N41" s="31">
        <f>0</f>
        <v>0</v>
      </c>
      <c r="O41" s="31">
        <f>0</f>
        <v>0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0"/>
        <v>0</v>
      </c>
      <c r="Z41" s="32">
        <f>4494+3376+40731</f>
        <v>48601</v>
      </c>
      <c r="AA41" s="104" t="s">
        <v>177</v>
      </c>
      <c r="AB41" s="34">
        <v>44209</v>
      </c>
      <c r="AC41" s="89">
        <v>44243</v>
      </c>
      <c r="AD41" s="32"/>
      <c r="AE41" s="35"/>
      <c r="AF41" s="36"/>
      <c r="AG41" s="89"/>
      <c r="AH41" s="32"/>
      <c r="AI41" s="33"/>
      <c r="AJ41" s="36"/>
      <c r="AK41" s="89"/>
      <c r="AL41" s="32"/>
      <c r="AM41" s="33"/>
      <c r="AN41" s="36"/>
      <c r="AO41" s="89"/>
      <c r="AP41" s="32"/>
      <c r="AQ41" s="33"/>
      <c r="AR41" s="36"/>
      <c r="AS41" s="89"/>
      <c r="AT41" s="270">
        <f t="shared" si="1"/>
        <v>48601</v>
      </c>
      <c r="AU41" s="38">
        <f t="shared" si="2"/>
        <v>48601</v>
      </c>
    </row>
    <row r="42" spans="2:47" s="26" customFormat="1" ht="22.5" x14ac:dyDescent="0.25">
      <c r="B42" s="276">
        <v>27</v>
      </c>
      <c r="C42" s="276" t="s">
        <v>39</v>
      </c>
      <c r="D42" s="28" t="s">
        <v>275</v>
      </c>
      <c r="E42" s="304" t="s">
        <v>274</v>
      </c>
      <c r="F42" s="304" t="s">
        <v>147</v>
      </c>
      <c r="G42" s="30" t="s">
        <v>146</v>
      </c>
      <c r="H42" s="30" t="s">
        <v>146</v>
      </c>
      <c r="I42" s="274" t="s">
        <v>57</v>
      </c>
      <c r="J42" s="305">
        <f>6651404</f>
        <v>6651404</v>
      </c>
      <c r="K42" s="31">
        <f>5847707</f>
        <v>5847707</v>
      </c>
      <c r="L42" s="31">
        <f>2</f>
        <v>2</v>
      </c>
      <c r="M42" s="31">
        <f>0</f>
        <v>0</v>
      </c>
      <c r="N42" s="31">
        <f>0</f>
        <v>0</v>
      </c>
      <c r="O42" s="31">
        <f>0</f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0"/>
        <v>0</v>
      </c>
      <c r="Z42" s="32">
        <f>240+693282+61012+49161</f>
        <v>803695</v>
      </c>
      <c r="AA42" s="104" t="s">
        <v>177</v>
      </c>
      <c r="AB42" s="34">
        <v>44209</v>
      </c>
      <c r="AC42" s="89">
        <v>44243</v>
      </c>
      <c r="AD42" s="32"/>
      <c r="AE42" s="35"/>
      <c r="AF42" s="36"/>
      <c r="AG42" s="89"/>
      <c r="AH42" s="32"/>
      <c r="AI42" s="33"/>
      <c r="AJ42" s="36"/>
      <c r="AK42" s="89"/>
      <c r="AL42" s="32"/>
      <c r="AM42" s="33"/>
      <c r="AN42" s="36"/>
      <c r="AO42" s="89"/>
      <c r="AP42" s="32"/>
      <c r="AQ42" s="33"/>
      <c r="AR42" s="36"/>
      <c r="AS42" s="89"/>
      <c r="AT42" s="270">
        <f t="shared" si="1"/>
        <v>803695</v>
      </c>
      <c r="AU42" s="38">
        <f t="shared" si="2"/>
        <v>803695</v>
      </c>
    </row>
    <row r="43" spans="2:47" s="26" customFormat="1" ht="22.5" customHeight="1" x14ac:dyDescent="0.25">
      <c r="B43" s="276">
        <v>28</v>
      </c>
      <c r="C43" s="276" t="s">
        <v>39</v>
      </c>
      <c r="D43" s="28" t="s">
        <v>273</v>
      </c>
      <c r="E43" s="304" t="s">
        <v>272</v>
      </c>
      <c r="F43" s="304" t="s">
        <v>193</v>
      </c>
      <c r="G43" s="30" t="s">
        <v>146</v>
      </c>
      <c r="H43" s="42" t="s">
        <v>236</v>
      </c>
      <c r="I43" s="274" t="s">
        <v>57</v>
      </c>
      <c r="J43" s="305">
        <f>412837</f>
        <v>412837</v>
      </c>
      <c r="K43" s="31">
        <f>333669</f>
        <v>333669</v>
      </c>
      <c r="L43" s="31">
        <f>0</f>
        <v>0</v>
      </c>
      <c r="M43" s="31">
        <f>0</f>
        <v>0</v>
      </c>
      <c r="N43" s="31">
        <f>0</f>
        <v>0</v>
      </c>
      <c r="O43" s="31">
        <f>0</f>
        <v>0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0"/>
        <v>0</v>
      </c>
      <c r="Z43" s="32">
        <f>79168</f>
        <v>79168</v>
      </c>
      <c r="AA43" s="104" t="s">
        <v>177</v>
      </c>
      <c r="AB43" s="34">
        <v>44209</v>
      </c>
      <c r="AC43" s="89">
        <v>44243</v>
      </c>
      <c r="AD43" s="32"/>
      <c r="AE43" s="35"/>
      <c r="AF43" s="36"/>
      <c r="AG43" s="89"/>
      <c r="AH43" s="32"/>
      <c r="AI43" s="33"/>
      <c r="AJ43" s="36"/>
      <c r="AK43" s="89"/>
      <c r="AL43" s="32"/>
      <c r="AM43" s="33"/>
      <c r="AN43" s="36"/>
      <c r="AO43" s="89"/>
      <c r="AP43" s="32"/>
      <c r="AQ43" s="33"/>
      <c r="AR43" s="36"/>
      <c r="AS43" s="89"/>
      <c r="AT43" s="270">
        <f t="shared" si="1"/>
        <v>79168</v>
      </c>
      <c r="AU43" s="38">
        <f t="shared" si="2"/>
        <v>79168</v>
      </c>
    </row>
    <row r="44" spans="2:47" s="26" customFormat="1" ht="22.5" customHeight="1" x14ac:dyDescent="0.25">
      <c r="B44" s="276">
        <v>29</v>
      </c>
      <c r="C44" s="276" t="s">
        <v>39</v>
      </c>
      <c r="D44" s="28" t="s">
        <v>271</v>
      </c>
      <c r="E44" s="304" t="s">
        <v>270</v>
      </c>
      <c r="F44" s="304" t="s">
        <v>147</v>
      </c>
      <c r="G44" s="30" t="s">
        <v>146</v>
      </c>
      <c r="H44" s="42" t="s">
        <v>216</v>
      </c>
      <c r="I44" s="274" t="s">
        <v>57</v>
      </c>
      <c r="J44" s="305">
        <f>2379612</f>
        <v>2379612</v>
      </c>
      <c r="K44" s="31">
        <f>2271443</f>
        <v>2271443</v>
      </c>
      <c r="L44" s="31">
        <f>0</f>
        <v>0</v>
      </c>
      <c r="M44" s="31">
        <f>0</f>
        <v>0</v>
      </c>
      <c r="N44" s="31">
        <f>10921</f>
        <v>10921</v>
      </c>
      <c r="O44" s="31">
        <f>0</f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0"/>
        <v>10921</v>
      </c>
      <c r="Z44" s="32">
        <f>10922+60829+29169</f>
        <v>100920</v>
      </c>
      <c r="AA44" s="104" t="s">
        <v>177</v>
      </c>
      <c r="AB44" s="34">
        <v>44209</v>
      </c>
      <c r="AC44" s="89">
        <v>44243</v>
      </c>
      <c r="AD44" s="32"/>
      <c r="AE44" s="35"/>
      <c r="AF44" s="36"/>
      <c r="AG44" s="89"/>
      <c r="AH44" s="32"/>
      <c r="AI44" s="33"/>
      <c r="AJ44" s="36"/>
      <c r="AK44" s="89"/>
      <c r="AL44" s="32"/>
      <c r="AM44" s="33"/>
      <c r="AN44" s="36"/>
      <c r="AO44" s="89"/>
      <c r="AP44" s="32"/>
      <c r="AQ44" s="33"/>
      <c r="AR44" s="36"/>
      <c r="AS44" s="89"/>
      <c r="AT44" s="270">
        <f t="shared" si="1"/>
        <v>100920</v>
      </c>
      <c r="AU44" s="38">
        <f t="shared" si="2"/>
        <v>89999</v>
      </c>
    </row>
    <row r="45" spans="2:47" s="26" customFormat="1" ht="22.5" x14ac:dyDescent="0.25">
      <c r="B45" s="276">
        <v>30</v>
      </c>
      <c r="C45" s="276" t="s">
        <v>39</v>
      </c>
      <c r="D45" s="28" t="s">
        <v>269</v>
      </c>
      <c r="E45" s="304" t="s">
        <v>268</v>
      </c>
      <c r="F45" s="304" t="s">
        <v>147</v>
      </c>
      <c r="G45" s="30" t="s">
        <v>146</v>
      </c>
      <c r="H45" s="42" t="s">
        <v>161</v>
      </c>
      <c r="I45" s="274" t="s">
        <v>57</v>
      </c>
      <c r="J45" s="305">
        <f>848177</f>
        <v>848177</v>
      </c>
      <c r="K45" s="31">
        <f>1081</f>
        <v>1081</v>
      </c>
      <c r="L45" s="31">
        <f>190096</f>
        <v>190096</v>
      </c>
      <c r="M45" s="31">
        <f>0</f>
        <v>0</v>
      </c>
      <c r="N45" s="31">
        <f>456984</f>
        <v>456984</v>
      </c>
      <c r="O45" s="31">
        <f>104313</f>
        <v>104313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0"/>
        <v>561297</v>
      </c>
      <c r="Z45" s="32">
        <f>17000+600000+23000</f>
        <v>640000</v>
      </c>
      <c r="AA45" s="104" t="s">
        <v>177</v>
      </c>
      <c r="AB45" s="34">
        <v>44209</v>
      </c>
      <c r="AC45" s="89">
        <v>44243</v>
      </c>
      <c r="AD45" s="32"/>
      <c r="AE45" s="35"/>
      <c r="AF45" s="36"/>
      <c r="AG45" s="89"/>
      <c r="AH45" s="32"/>
      <c r="AI45" s="33"/>
      <c r="AJ45" s="36"/>
      <c r="AK45" s="89"/>
      <c r="AL45" s="32"/>
      <c r="AM45" s="33"/>
      <c r="AN45" s="36"/>
      <c r="AO45" s="89"/>
      <c r="AP45" s="32"/>
      <c r="AQ45" s="33"/>
      <c r="AR45" s="36"/>
      <c r="AS45" s="89"/>
      <c r="AT45" s="270">
        <f t="shared" si="1"/>
        <v>640000</v>
      </c>
      <c r="AU45" s="38">
        <f t="shared" si="2"/>
        <v>78703</v>
      </c>
    </row>
    <row r="46" spans="2:47" s="26" customFormat="1" ht="22.5" x14ac:dyDescent="0.25">
      <c r="B46" s="276">
        <v>31</v>
      </c>
      <c r="C46" s="276" t="s">
        <v>39</v>
      </c>
      <c r="D46" s="28" t="s">
        <v>267</v>
      </c>
      <c r="E46" s="304" t="s">
        <v>266</v>
      </c>
      <c r="F46" s="304" t="s">
        <v>147</v>
      </c>
      <c r="G46" s="30" t="s">
        <v>146</v>
      </c>
      <c r="H46" s="42"/>
      <c r="I46" s="274" t="s">
        <v>57</v>
      </c>
      <c r="J46" s="305">
        <f>2618995</f>
        <v>2618995</v>
      </c>
      <c r="K46" s="31">
        <f>1960176</f>
        <v>1960176</v>
      </c>
      <c r="L46" s="31">
        <f>0</f>
        <v>0</v>
      </c>
      <c r="M46" s="31">
        <f>0</f>
        <v>0</v>
      </c>
      <c r="N46" s="31">
        <f>0</f>
        <v>0</v>
      </c>
      <c r="O46" s="31">
        <f>0</f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0"/>
        <v>0</v>
      </c>
      <c r="Z46" s="32">
        <f>18000+540000</f>
        <v>558000</v>
      </c>
      <c r="AA46" s="104" t="s">
        <v>177</v>
      </c>
      <c r="AB46" s="34">
        <v>44209</v>
      </c>
      <c r="AC46" s="89">
        <v>44243</v>
      </c>
      <c r="AD46" s="32"/>
      <c r="AE46" s="35"/>
      <c r="AF46" s="36"/>
      <c r="AG46" s="89"/>
      <c r="AH46" s="32"/>
      <c r="AI46" s="33"/>
      <c r="AJ46" s="36"/>
      <c r="AK46" s="89"/>
      <c r="AL46" s="32"/>
      <c r="AM46" s="33"/>
      <c r="AN46" s="36"/>
      <c r="AO46" s="89"/>
      <c r="AP46" s="32"/>
      <c r="AQ46" s="33"/>
      <c r="AR46" s="36"/>
      <c r="AS46" s="89"/>
      <c r="AT46" s="270">
        <f t="shared" si="1"/>
        <v>558000</v>
      </c>
      <c r="AU46" s="38">
        <f t="shared" si="2"/>
        <v>558000</v>
      </c>
    </row>
    <row r="47" spans="2:47" s="26" customFormat="1" ht="22.5" x14ac:dyDescent="0.25">
      <c r="B47" s="276">
        <v>32</v>
      </c>
      <c r="C47" s="276" t="s">
        <v>39</v>
      </c>
      <c r="D47" s="28" t="s">
        <v>265</v>
      </c>
      <c r="E47" s="304" t="s">
        <v>264</v>
      </c>
      <c r="F47" s="304" t="s">
        <v>147</v>
      </c>
      <c r="G47" s="30" t="s">
        <v>146</v>
      </c>
      <c r="H47" s="42" t="s">
        <v>263</v>
      </c>
      <c r="I47" s="274" t="s">
        <v>57</v>
      </c>
      <c r="J47" s="305">
        <f>305786</f>
        <v>305786</v>
      </c>
      <c r="K47" s="31">
        <f>21725</f>
        <v>21725</v>
      </c>
      <c r="L47" s="31">
        <f>3</f>
        <v>3</v>
      </c>
      <c r="M47" s="31">
        <f>0</f>
        <v>0</v>
      </c>
      <c r="N47" s="31">
        <f>97341</f>
        <v>97341</v>
      </c>
      <c r="O47" s="31">
        <f>5827</f>
        <v>5827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0"/>
        <v>103168</v>
      </c>
      <c r="Z47" s="32">
        <f>15218+222333+46225+282</f>
        <v>284058</v>
      </c>
      <c r="AA47" s="104" t="s">
        <v>177</v>
      </c>
      <c r="AB47" s="34">
        <v>44209</v>
      </c>
      <c r="AC47" s="89">
        <v>44243</v>
      </c>
      <c r="AD47" s="32"/>
      <c r="AE47" s="35"/>
      <c r="AF47" s="36"/>
      <c r="AG47" s="89"/>
      <c r="AH47" s="32"/>
      <c r="AI47" s="33"/>
      <c r="AJ47" s="36"/>
      <c r="AK47" s="89"/>
      <c r="AL47" s="32"/>
      <c r="AM47" s="33"/>
      <c r="AN47" s="36"/>
      <c r="AO47" s="89"/>
      <c r="AP47" s="32"/>
      <c r="AQ47" s="33"/>
      <c r="AR47" s="36"/>
      <c r="AS47" s="89"/>
      <c r="AT47" s="270">
        <f t="shared" si="1"/>
        <v>284058</v>
      </c>
      <c r="AU47" s="38">
        <f t="shared" si="2"/>
        <v>180890</v>
      </c>
    </row>
    <row r="48" spans="2:47" s="26" customFormat="1" ht="22.5" x14ac:dyDescent="0.25">
      <c r="B48" s="276">
        <v>33</v>
      </c>
      <c r="C48" s="276" t="s">
        <v>39</v>
      </c>
      <c r="D48" s="28" t="s">
        <v>262</v>
      </c>
      <c r="E48" s="304" t="s">
        <v>261</v>
      </c>
      <c r="F48" s="304" t="s">
        <v>147</v>
      </c>
      <c r="G48" s="30" t="s">
        <v>146</v>
      </c>
      <c r="H48" s="42" t="s">
        <v>161</v>
      </c>
      <c r="I48" s="274" t="s">
        <v>57</v>
      </c>
      <c r="J48" s="305">
        <f>813467</f>
        <v>813467</v>
      </c>
      <c r="K48" s="31">
        <f>1945</f>
        <v>1945</v>
      </c>
      <c r="L48" s="31">
        <f>194522</f>
        <v>194522</v>
      </c>
      <c r="M48" s="31">
        <f>0</f>
        <v>0</v>
      </c>
      <c r="N48" s="31">
        <f>31562</f>
        <v>31562</v>
      </c>
      <c r="O48" s="31">
        <f>263012</f>
        <v>263012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ref="Y48:Y79" si="3">SUM(M48:X48)</f>
        <v>294574</v>
      </c>
      <c r="Z48" s="32">
        <f>17000+600000</f>
        <v>617000</v>
      </c>
      <c r="AA48" s="104" t="s">
        <v>177</v>
      </c>
      <c r="AB48" s="34">
        <v>44209</v>
      </c>
      <c r="AC48" s="89">
        <v>44243</v>
      </c>
      <c r="AD48" s="32"/>
      <c r="AE48" s="35"/>
      <c r="AF48" s="36"/>
      <c r="AG48" s="89"/>
      <c r="AH48" s="32"/>
      <c r="AI48" s="33"/>
      <c r="AJ48" s="36"/>
      <c r="AK48" s="89"/>
      <c r="AL48" s="32"/>
      <c r="AM48" s="33"/>
      <c r="AN48" s="36"/>
      <c r="AO48" s="89"/>
      <c r="AP48" s="32"/>
      <c r="AQ48" s="33"/>
      <c r="AR48" s="36"/>
      <c r="AS48" s="89"/>
      <c r="AT48" s="270">
        <f t="shared" ref="AT48:AT79" si="4">+Z48+AD48+AH48+AL48+AP48</f>
        <v>617000</v>
      </c>
      <c r="AU48" s="38">
        <f t="shared" ref="AU48:AU79" si="5">+AT48-Y48</f>
        <v>322426</v>
      </c>
    </row>
    <row r="49" spans="2:47" s="26" customFormat="1" ht="22.5" x14ac:dyDescent="0.25">
      <c r="B49" s="276">
        <v>34</v>
      </c>
      <c r="C49" s="276" t="s">
        <v>39</v>
      </c>
      <c r="D49" s="28" t="s">
        <v>260</v>
      </c>
      <c r="E49" s="304" t="s">
        <v>259</v>
      </c>
      <c r="F49" s="304" t="s">
        <v>193</v>
      </c>
      <c r="G49" s="30" t="s">
        <v>146</v>
      </c>
      <c r="H49" s="42" t="s">
        <v>201</v>
      </c>
      <c r="I49" s="274" t="s">
        <v>57</v>
      </c>
      <c r="J49" s="305">
        <f>156350</f>
        <v>156350</v>
      </c>
      <c r="K49" s="31">
        <f>120942</f>
        <v>120942</v>
      </c>
      <c r="L49" s="31">
        <f>0</f>
        <v>0</v>
      </c>
      <c r="M49" s="31">
        <f>0</f>
        <v>0</v>
      </c>
      <c r="N49" s="31">
        <f>0</f>
        <v>0</v>
      </c>
      <c r="O49" s="31">
        <f>0</f>
        <v>0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3"/>
        <v>0</v>
      </c>
      <c r="Z49" s="32">
        <f>23936</f>
        <v>23936</v>
      </c>
      <c r="AA49" s="104" t="s">
        <v>177</v>
      </c>
      <c r="AB49" s="34">
        <v>44209</v>
      </c>
      <c r="AC49" s="89">
        <v>44243</v>
      </c>
      <c r="AD49" s="32"/>
      <c r="AE49" s="35"/>
      <c r="AF49" s="36"/>
      <c r="AG49" s="89"/>
      <c r="AH49" s="32"/>
      <c r="AI49" s="33"/>
      <c r="AJ49" s="36"/>
      <c r="AK49" s="89"/>
      <c r="AL49" s="32"/>
      <c r="AM49" s="33"/>
      <c r="AN49" s="36"/>
      <c r="AO49" s="89"/>
      <c r="AP49" s="32"/>
      <c r="AQ49" s="33"/>
      <c r="AR49" s="36"/>
      <c r="AS49" s="89"/>
      <c r="AT49" s="270">
        <f t="shared" si="4"/>
        <v>23936</v>
      </c>
      <c r="AU49" s="38">
        <f t="shared" si="5"/>
        <v>23936</v>
      </c>
    </row>
    <row r="50" spans="2:47" s="26" customFormat="1" ht="22.5" x14ac:dyDescent="0.25">
      <c r="B50" s="276">
        <v>35</v>
      </c>
      <c r="C50" s="276" t="s">
        <v>39</v>
      </c>
      <c r="D50" s="28" t="s">
        <v>258</v>
      </c>
      <c r="E50" s="304" t="s">
        <v>257</v>
      </c>
      <c r="F50" s="304" t="s">
        <v>147</v>
      </c>
      <c r="G50" s="30" t="s">
        <v>146</v>
      </c>
      <c r="H50" s="42" t="s">
        <v>146</v>
      </c>
      <c r="I50" s="274" t="s">
        <v>57</v>
      </c>
      <c r="J50" s="305">
        <f>745142+1</f>
        <v>745143</v>
      </c>
      <c r="K50" s="31">
        <f>5537</f>
        <v>5537</v>
      </c>
      <c r="L50" s="106">
        <f>80899-9999</f>
        <v>70900</v>
      </c>
      <c r="M50" s="31">
        <f>0</f>
        <v>0</v>
      </c>
      <c r="N50" s="31">
        <f>76888</f>
        <v>76888</v>
      </c>
      <c r="O50" s="31">
        <f>36947</f>
        <v>36947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3"/>
        <v>113835</v>
      </c>
      <c r="Z50" s="32">
        <f>15329+643377</f>
        <v>658706</v>
      </c>
      <c r="AA50" s="104" t="s">
        <v>177</v>
      </c>
      <c r="AB50" s="34">
        <v>44209</v>
      </c>
      <c r="AC50" s="89">
        <v>44243</v>
      </c>
      <c r="AD50" s="32">
        <f>5000+5000</f>
        <v>10000</v>
      </c>
      <c r="AE50" s="104" t="s">
        <v>144</v>
      </c>
      <c r="AF50" s="41">
        <v>44253</v>
      </c>
      <c r="AG50" s="89">
        <v>44281</v>
      </c>
      <c r="AH50" s="32"/>
      <c r="AI50" s="33"/>
      <c r="AJ50" s="36"/>
      <c r="AK50" s="89"/>
      <c r="AL50" s="32"/>
      <c r="AM50" s="33"/>
      <c r="AN50" s="36"/>
      <c r="AO50" s="89"/>
      <c r="AP50" s="32"/>
      <c r="AQ50" s="33"/>
      <c r="AR50" s="36"/>
      <c r="AS50" s="89"/>
      <c r="AT50" s="270">
        <f t="shared" si="4"/>
        <v>668706</v>
      </c>
      <c r="AU50" s="38">
        <f t="shared" si="5"/>
        <v>554871</v>
      </c>
    </row>
    <row r="51" spans="2:47" s="26" customFormat="1" ht="22.5" x14ac:dyDescent="0.25">
      <c r="B51" s="276">
        <v>36</v>
      </c>
      <c r="C51" s="276" t="s">
        <v>39</v>
      </c>
      <c r="D51" s="28" t="s">
        <v>256</v>
      </c>
      <c r="E51" s="304" t="s">
        <v>255</v>
      </c>
      <c r="F51" s="304" t="s">
        <v>147</v>
      </c>
      <c r="G51" s="30" t="s">
        <v>146</v>
      </c>
      <c r="H51" s="42" t="s">
        <v>236</v>
      </c>
      <c r="I51" s="274" t="s">
        <v>57</v>
      </c>
      <c r="J51" s="305">
        <f>917551</f>
        <v>917551</v>
      </c>
      <c r="K51" s="31">
        <f>303085</f>
        <v>303085</v>
      </c>
      <c r="L51" s="31">
        <f>127715</f>
        <v>127715</v>
      </c>
      <c r="M51" s="31">
        <f>0</f>
        <v>0</v>
      </c>
      <c r="N51" s="31">
        <f>116540</f>
        <v>116540</v>
      </c>
      <c r="O51" s="31">
        <f>59199</f>
        <v>59199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3"/>
        <v>175739</v>
      </c>
      <c r="Z51" s="32">
        <f>486750</f>
        <v>486750</v>
      </c>
      <c r="AA51" s="104" t="s">
        <v>177</v>
      </c>
      <c r="AB51" s="34">
        <v>44209</v>
      </c>
      <c r="AC51" s="89">
        <v>44243</v>
      </c>
      <c r="AD51" s="32"/>
      <c r="AE51" s="35"/>
      <c r="AF51" s="36"/>
      <c r="AG51" s="89"/>
      <c r="AH51" s="32"/>
      <c r="AI51" s="33"/>
      <c r="AJ51" s="36"/>
      <c r="AK51" s="89"/>
      <c r="AL51" s="32"/>
      <c r="AM51" s="33"/>
      <c r="AN51" s="36"/>
      <c r="AO51" s="89"/>
      <c r="AP51" s="32"/>
      <c r="AQ51" s="33"/>
      <c r="AR51" s="36"/>
      <c r="AS51" s="89"/>
      <c r="AT51" s="270">
        <f t="shared" si="4"/>
        <v>486750</v>
      </c>
      <c r="AU51" s="38">
        <f t="shared" si="5"/>
        <v>311011</v>
      </c>
    </row>
    <row r="52" spans="2:47" s="26" customFormat="1" ht="22.5" x14ac:dyDescent="0.25">
      <c r="B52" s="276">
        <v>37</v>
      </c>
      <c r="C52" s="276" t="s">
        <v>39</v>
      </c>
      <c r="D52" s="28" t="s">
        <v>254</v>
      </c>
      <c r="E52" s="304" t="s">
        <v>253</v>
      </c>
      <c r="F52" s="304" t="s">
        <v>147</v>
      </c>
      <c r="G52" s="30" t="s">
        <v>146</v>
      </c>
      <c r="H52" s="42" t="s">
        <v>158</v>
      </c>
      <c r="I52" s="274" t="s">
        <v>57</v>
      </c>
      <c r="J52" s="305">
        <f>5854007</f>
        <v>5854007</v>
      </c>
      <c r="K52" s="31">
        <f>4429005</f>
        <v>4429005</v>
      </c>
      <c r="L52" s="31">
        <f>601925</f>
        <v>601925</v>
      </c>
      <c r="M52" s="31">
        <f>0</f>
        <v>0</v>
      </c>
      <c r="N52" s="31">
        <f>0</f>
        <v>0</v>
      </c>
      <c r="O52" s="31">
        <f>0</f>
        <v>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3"/>
        <v>0</v>
      </c>
      <c r="Z52" s="32">
        <f>16000+337791+1000+1000</f>
        <v>355791</v>
      </c>
      <c r="AA52" s="104" t="s">
        <v>177</v>
      </c>
      <c r="AB52" s="34">
        <v>44209</v>
      </c>
      <c r="AC52" s="89">
        <v>44243</v>
      </c>
      <c r="AD52" s="32"/>
      <c r="AE52" s="35"/>
      <c r="AF52" s="36"/>
      <c r="AG52" s="89"/>
      <c r="AH52" s="32"/>
      <c r="AI52" s="33"/>
      <c r="AJ52" s="36"/>
      <c r="AK52" s="89"/>
      <c r="AL52" s="32"/>
      <c r="AM52" s="33"/>
      <c r="AN52" s="36"/>
      <c r="AO52" s="89"/>
      <c r="AP52" s="32"/>
      <c r="AQ52" s="33"/>
      <c r="AR52" s="36"/>
      <c r="AS52" s="89"/>
      <c r="AT52" s="270">
        <f t="shared" si="4"/>
        <v>355791</v>
      </c>
      <c r="AU52" s="38">
        <f t="shared" si="5"/>
        <v>355791</v>
      </c>
    </row>
    <row r="53" spans="2:47" s="26" customFormat="1" ht="22.5" x14ac:dyDescent="0.25">
      <c r="B53" s="276">
        <v>38</v>
      </c>
      <c r="C53" s="276" t="s">
        <v>39</v>
      </c>
      <c r="D53" s="28" t="s">
        <v>252</v>
      </c>
      <c r="E53" s="304" t="s">
        <v>251</v>
      </c>
      <c r="F53" s="304" t="s">
        <v>147</v>
      </c>
      <c r="G53" s="30" t="s">
        <v>146</v>
      </c>
      <c r="H53" s="42" t="s">
        <v>236</v>
      </c>
      <c r="I53" s="274" t="s">
        <v>57</v>
      </c>
      <c r="J53" s="305">
        <f>480083</f>
        <v>480083</v>
      </c>
      <c r="K53" s="31">
        <f>428903</f>
        <v>428903</v>
      </c>
      <c r="L53" s="31">
        <f>2</f>
        <v>2</v>
      </c>
      <c r="M53" s="31">
        <f>0</f>
        <v>0</v>
      </c>
      <c r="N53" s="31">
        <f>0</f>
        <v>0</v>
      </c>
      <c r="O53" s="31">
        <f>0</f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3"/>
        <v>0</v>
      </c>
      <c r="Z53" s="32">
        <f>8329+38411</f>
        <v>46740</v>
      </c>
      <c r="AA53" s="104" t="s">
        <v>177</v>
      </c>
      <c r="AB53" s="34">
        <v>44209</v>
      </c>
      <c r="AC53" s="89">
        <v>44243</v>
      </c>
      <c r="AD53" s="32"/>
      <c r="AE53" s="35"/>
      <c r="AF53" s="36"/>
      <c r="AG53" s="89"/>
      <c r="AH53" s="32"/>
      <c r="AI53" s="33"/>
      <c r="AJ53" s="36"/>
      <c r="AK53" s="89"/>
      <c r="AL53" s="32"/>
      <c r="AM53" s="33"/>
      <c r="AN53" s="36"/>
      <c r="AO53" s="89"/>
      <c r="AP53" s="32"/>
      <c r="AQ53" s="33"/>
      <c r="AR53" s="36"/>
      <c r="AS53" s="89"/>
      <c r="AT53" s="270">
        <f t="shared" si="4"/>
        <v>46740</v>
      </c>
      <c r="AU53" s="38">
        <f t="shared" si="5"/>
        <v>46740</v>
      </c>
    </row>
    <row r="54" spans="2:47" s="26" customFormat="1" x14ac:dyDescent="0.25">
      <c r="B54" s="276">
        <v>39</v>
      </c>
      <c r="C54" s="276" t="s">
        <v>39</v>
      </c>
      <c r="D54" s="28" t="s">
        <v>250</v>
      </c>
      <c r="E54" s="304" t="s">
        <v>249</v>
      </c>
      <c r="F54" s="304" t="s">
        <v>147</v>
      </c>
      <c r="G54" s="30" t="s">
        <v>146</v>
      </c>
      <c r="H54" s="42" t="s">
        <v>248</v>
      </c>
      <c r="I54" s="274" t="s">
        <v>57</v>
      </c>
      <c r="J54" s="305">
        <f>1385177</f>
        <v>1385177</v>
      </c>
      <c r="K54" s="31">
        <f>1359600</f>
        <v>1359600</v>
      </c>
      <c r="L54" s="31">
        <f>1</f>
        <v>1</v>
      </c>
      <c r="M54" s="31">
        <f>0</f>
        <v>0</v>
      </c>
      <c r="N54" s="31">
        <f>409</f>
        <v>409</v>
      </c>
      <c r="O54" s="31">
        <f>0</f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3"/>
        <v>409</v>
      </c>
      <c r="Z54" s="32">
        <f>8329+17244</f>
        <v>25573</v>
      </c>
      <c r="AA54" s="104" t="s">
        <v>177</v>
      </c>
      <c r="AB54" s="34">
        <v>44209</v>
      </c>
      <c r="AC54" s="89">
        <v>44243</v>
      </c>
      <c r="AD54" s="32"/>
      <c r="AE54" s="35"/>
      <c r="AF54" s="36"/>
      <c r="AG54" s="89"/>
      <c r="AH54" s="32"/>
      <c r="AI54" s="33"/>
      <c r="AJ54" s="36"/>
      <c r="AK54" s="89"/>
      <c r="AL54" s="32"/>
      <c r="AM54" s="33"/>
      <c r="AN54" s="36"/>
      <c r="AO54" s="89"/>
      <c r="AP54" s="32"/>
      <c r="AQ54" s="33"/>
      <c r="AR54" s="36"/>
      <c r="AS54" s="89"/>
      <c r="AT54" s="270">
        <f t="shared" si="4"/>
        <v>25573</v>
      </c>
      <c r="AU54" s="38">
        <f t="shared" si="5"/>
        <v>25164</v>
      </c>
    </row>
    <row r="55" spans="2:47" s="26" customFormat="1" ht="22.5" x14ac:dyDescent="0.25">
      <c r="B55" s="276">
        <v>40</v>
      </c>
      <c r="C55" s="276" t="s">
        <v>39</v>
      </c>
      <c r="D55" s="28" t="s">
        <v>247</v>
      </c>
      <c r="E55" s="304" t="s">
        <v>246</v>
      </c>
      <c r="F55" s="304" t="s">
        <v>147</v>
      </c>
      <c r="G55" s="30" t="s">
        <v>146</v>
      </c>
      <c r="H55" s="42" t="s">
        <v>198</v>
      </c>
      <c r="I55" s="274" t="s">
        <v>72</v>
      </c>
      <c r="J55" s="305">
        <f>397120</f>
        <v>397120</v>
      </c>
      <c r="K55" s="31">
        <f>3340</f>
        <v>3340</v>
      </c>
      <c r="L55" s="31">
        <f>940</f>
        <v>940</v>
      </c>
      <c r="M55" s="31">
        <f>0</f>
        <v>0</v>
      </c>
      <c r="N55" s="31">
        <f>1677</f>
        <v>1677</v>
      </c>
      <c r="O55" s="31">
        <f>2000</f>
        <v>2000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3"/>
        <v>3677</v>
      </c>
      <c r="Z55" s="32">
        <f>25000+325519+18938+6333</f>
        <v>375790</v>
      </c>
      <c r="AA55" s="104" t="s">
        <v>177</v>
      </c>
      <c r="AB55" s="34">
        <v>44209</v>
      </c>
      <c r="AC55" s="89">
        <v>44243</v>
      </c>
      <c r="AD55" s="32"/>
      <c r="AE55" s="35"/>
      <c r="AF55" s="36"/>
      <c r="AG55" s="89"/>
      <c r="AH55" s="32"/>
      <c r="AI55" s="33"/>
      <c r="AJ55" s="36"/>
      <c r="AK55" s="89"/>
      <c r="AL55" s="32"/>
      <c r="AM55" s="33"/>
      <c r="AN55" s="36"/>
      <c r="AO55" s="89"/>
      <c r="AP55" s="32"/>
      <c r="AQ55" s="33"/>
      <c r="AR55" s="36"/>
      <c r="AS55" s="89"/>
      <c r="AT55" s="270">
        <f t="shared" si="4"/>
        <v>375790</v>
      </c>
      <c r="AU55" s="38">
        <f t="shared" si="5"/>
        <v>372113</v>
      </c>
    </row>
    <row r="56" spans="2:47" s="26" customFormat="1" x14ac:dyDescent="0.25">
      <c r="B56" s="276">
        <v>41</v>
      </c>
      <c r="C56" s="276" t="s">
        <v>39</v>
      </c>
      <c r="D56" s="28" t="s">
        <v>245</v>
      </c>
      <c r="E56" s="304" t="s">
        <v>244</v>
      </c>
      <c r="F56" s="304" t="s">
        <v>147</v>
      </c>
      <c r="G56" s="30" t="s">
        <v>146</v>
      </c>
      <c r="H56" s="42" t="s">
        <v>243</v>
      </c>
      <c r="I56" s="274" t="s">
        <v>72</v>
      </c>
      <c r="J56" s="305">
        <f>618443</f>
        <v>618443</v>
      </c>
      <c r="K56" s="31">
        <f>2776</f>
        <v>2776</v>
      </c>
      <c r="L56" s="31">
        <f>40257</f>
        <v>40257</v>
      </c>
      <c r="M56" s="31">
        <f>0</f>
        <v>0</v>
      </c>
      <c r="N56" s="31">
        <f>0</f>
        <v>0</v>
      </c>
      <c r="O56" s="31">
        <f>0</f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3"/>
        <v>0</v>
      </c>
      <c r="Z56" s="32">
        <f>11539+472739</f>
        <v>484278</v>
      </c>
      <c r="AA56" s="104" t="s">
        <v>177</v>
      </c>
      <c r="AB56" s="34">
        <v>44209</v>
      </c>
      <c r="AC56" s="89">
        <v>44243</v>
      </c>
      <c r="AD56" s="32"/>
      <c r="AE56" s="35"/>
      <c r="AF56" s="36"/>
      <c r="AG56" s="89"/>
      <c r="AH56" s="32"/>
      <c r="AI56" s="33"/>
      <c r="AJ56" s="36"/>
      <c r="AK56" s="89"/>
      <c r="AL56" s="32"/>
      <c r="AM56" s="33"/>
      <c r="AN56" s="36"/>
      <c r="AO56" s="89"/>
      <c r="AP56" s="32"/>
      <c r="AQ56" s="33"/>
      <c r="AR56" s="36"/>
      <c r="AS56" s="89"/>
      <c r="AT56" s="270">
        <f t="shared" si="4"/>
        <v>484278</v>
      </c>
      <c r="AU56" s="38">
        <f t="shared" si="5"/>
        <v>484278</v>
      </c>
    </row>
    <row r="57" spans="2:47" s="26" customFormat="1" ht="22.5" x14ac:dyDescent="0.25">
      <c r="B57" s="276">
        <v>42</v>
      </c>
      <c r="C57" s="276" t="s">
        <v>39</v>
      </c>
      <c r="D57" s="28" t="s">
        <v>242</v>
      </c>
      <c r="E57" s="304" t="s">
        <v>241</v>
      </c>
      <c r="F57" s="304" t="s">
        <v>147</v>
      </c>
      <c r="G57" s="30" t="s">
        <v>146</v>
      </c>
      <c r="H57" s="42" t="s">
        <v>201</v>
      </c>
      <c r="I57" s="274" t="s">
        <v>57</v>
      </c>
      <c r="J57" s="305">
        <f>1170681</f>
        <v>1170681</v>
      </c>
      <c r="K57" s="31">
        <f>4499</f>
        <v>4499</v>
      </c>
      <c r="L57" s="31">
        <f>240940</f>
        <v>240940</v>
      </c>
      <c r="M57" s="31">
        <f>0</f>
        <v>0</v>
      </c>
      <c r="N57" s="31">
        <f>44684</f>
        <v>44684</v>
      </c>
      <c r="O57" s="31">
        <f>62568</f>
        <v>62568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3"/>
        <v>107252</v>
      </c>
      <c r="Z57" s="32">
        <f>22000+903242</f>
        <v>925242</v>
      </c>
      <c r="AA57" s="104" t="s">
        <v>177</v>
      </c>
      <c r="AB57" s="34">
        <v>44209</v>
      </c>
      <c r="AC57" s="89">
        <v>44243</v>
      </c>
      <c r="AD57" s="32"/>
      <c r="AE57" s="35"/>
      <c r="AF57" s="36"/>
      <c r="AG57" s="89"/>
      <c r="AH57" s="32"/>
      <c r="AI57" s="33"/>
      <c r="AJ57" s="36"/>
      <c r="AK57" s="89"/>
      <c r="AL57" s="32"/>
      <c r="AM57" s="33"/>
      <c r="AN57" s="36"/>
      <c r="AO57" s="89"/>
      <c r="AP57" s="32"/>
      <c r="AQ57" s="33"/>
      <c r="AR57" s="36"/>
      <c r="AS57" s="89"/>
      <c r="AT57" s="270">
        <f t="shared" si="4"/>
        <v>925242</v>
      </c>
      <c r="AU57" s="38">
        <f t="shared" si="5"/>
        <v>817990</v>
      </c>
    </row>
    <row r="58" spans="2:47" s="26" customFormat="1" ht="22.5" x14ac:dyDescent="0.25">
      <c r="B58" s="276">
        <v>43</v>
      </c>
      <c r="C58" s="276" t="s">
        <v>39</v>
      </c>
      <c r="D58" s="28" t="s">
        <v>240</v>
      </c>
      <c r="E58" s="304" t="s">
        <v>239</v>
      </c>
      <c r="F58" s="304" t="s">
        <v>147</v>
      </c>
      <c r="G58" s="30" t="s">
        <v>146</v>
      </c>
      <c r="H58" s="30" t="s">
        <v>146</v>
      </c>
      <c r="I58" s="274" t="s">
        <v>72</v>
      </c>
      <c r="J58" s="305">
        <f>841354</f>
        <v>841354</v>
      </c>
      <c r="K58" s="31">
        <f>7488</f>
        <v>7488</v>
      </c>
      <c r="L58" s="31">
        <f>0</f>
        <v>0</v>
      </c>
      <c r="M58" s="31">
        <f>0</f>
        <v>0</v>
      </c>
      <c r="N58" s="31">
        <f>0</f>
        <v>0</v>
      </c>
      <c r="O58" s="31">
        <f>75311</f>
        <v>75311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3"/>
        <v>75311</v>
      </c>
      <c r="Z58" s="32">
        <f>727133</f>
        <v>727133</v>
      </c>
      <c r="AA58" s="104" t="s">
        <v>177</v>
      </c>
      <c r="AB58" s="34">
        <v>44209</v>
      </c>
      <c r="AC58" s="89">
        <v>44243</v>
      </c>
      <c r="AD58" s="32"/>
      <c r="AE58" s="35"/>
      <c r="AF58" s="36"/>
      <c r="AG58" s="89"/>
      <c r="AH58" s="32"/>
      <c r="AI58" s="33"/>
      <c r="AJ58" s="36"/>
      <c r="AK58" s="89"/>
      <c r="AL58" s="32"/>
      <c r="AM58" s="33"/>
      <c r="AN58" s="36"/>
      <c r="AO58" s="89"/>
      <c r="AP58" s="32"/>
      <c r="AQ58" s="33"/>
      <c r="AR58" s="36"/>
      <c r="AS58" s="89"/>
      <c r="AT58" s="270">
        <f t="shared" si="4"/>
        <v>727133</v>
      </c>
      <c r="AU58" s="38">
        <f t="shared" si="5"/>
        <v>651822</v>
      </c>
    </row>
    <row r="59" spans="2:47" s="26" customFormat="1" ht="22.5" x14ac:dyDescent="0.25">
      <c r="B59" s="276">
        <v>44</v>
      </c>
      <c r="C59" s="276" t="s">
        <v>39</v>
      </c>
      <c r="D59" s="28" t="s">
        <v>238</v>
      </c>
      <c r="E59" s="304" t="s">
        <v>237</v>
      </c>
      <c r="F59" s="304" t="s">
        <v>147</v>
      </c>
      <c r="G59" s="30" t="s">
        <v>146</v>
      </c>
      <c r="H59" s="42" t="s">
        <v>236</v>
      </c>
      <c r="I59" s="274" t="s">
        <v>57</v>
      </c>
      <c r="J59" s="305">
        <f>632513</f>
        <v>632513</v>
      </c>
      <c r="K59" s="31">
        <f>632293</f>
        <v>632293</v>
      </c>
      <c r="L59" s="31">
        <f>0</f>
        <v>0</v>
      </c>
      <c r="M59" s="31">
        <f>0</f>
        <v>0</v>
      </c>
      <c r="N59" s="31">
        <f>0</f>
        <v>0</v>
      </c>
      <c r="O59" s="31">
        <f>0</f>
        <v>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3"/>
        <v>0</v>
      </c>
      <c r="Z59" s="32">
        <f>218</f>
        <v>218</v>
      </c>
      <c r="AA59" s="104" t="s">
        <v>177</v>
      </c>
      <c r="AB59" s="34">
        <v>44209</v>
      </c>
      <c r="AC59" s="89">
        <v>44243</v>
      </c>
      <c r="AD59" s="32"/>
      <c r="AE59" s="35"/>
      <c r="AF59" s="36"/>
      <c r="AG59" s="89"/>
      <c r="AH59" s="32"/>
      <c r="AI59" s="33"/>
      <c r="AJ59" s="36"/>
      <c r="AK59" s="89"/>
      <c r="AL59" s="32"/>
      <c r="AM59" s="33"/>
      <c r="AN59" s="36"/>
      <c r="AO59" s="89"/>
      <c r="AP59" s="32"/>
      <c r="AQ59" s="33"/>
      <c r="AR59" s="36"/>
      <c r="AS59" s="89"/>
      <c r="AT59" s="270">
        <f t="shared" si="4"/>
        <v>218</v>
      </c>
      <c r="AU59" s="38">
        <f t="shared" si="5"/>
        <v>218</v>
      </c>
    </row>
    <row r="60" spans="2:47" s="26" customFormat="1" ht="22.5" x14ac:dyDescent="0.25">
      <c r="B60" s="276">
        <v>45</v>
      </c>
      <c r="C60" s="276" t="s">
        <v>39</v>
      </c>
      <c r="D60" s="28" t="s">
        <v>235</v>
      </c>
      <c r="E60" s="304" t="s">
        <v>234</v>
      </c>
      <c r="F60" s="304" t="s">
        <v>147</v>
      </c>
      <c r="G60" s="30" t="s">
        <v>146</v>
      </c>
      <c r="H60" s="30" t="s">
        <v>146</v>
      </c>
      <c r="I60" s="274" t="s">
        <v>57</v>
      </c>
      <c r="J60" s="305">
        <f>842374</f>
        <v>842374</v>
      </c>
      <c r="K60" s="31">
        <f>794316</f>
        <v>794316</v>
      </c>
      <c r="L60" s="31">
        <f>0</f>
        <v>0</v>
      </c>
      <c r="M60" s="31">
        <f>0</f>
        <v>0</v>
      </c>
      <c r="N60" s="31">
        <f>0</f>
        <v>0</v>
      </c>
      <c r="O60" s="31">
        <f>0</f>
        <v>0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3"/>
        <v>0</v>
      </c>
      <c r="Z60" s="32">
        <f>2412+44589</f>
        <v>47001</v>
      </c>
      <c r="AA60" s="104" t="s">
        <v>177</v>
      </c>
      <c r="AB60" s="34">
        <v>44209</v>
      </c>
      <c r="AC60" s="89">
        <v>44243</v>
      </c>
      <c r="AD60" s="32"/>
      <c r="AE60" s="35"/>
      <c r="AF60" s="36"/>
      <c r="AG60" s="89"/>
      <c r="AH60" s="32"/>
      <c r="AI60" s="33"/>
      <c r="AJ60" s="36"/>
      <c r="AK60" s="89"/>
      <c r="AL60" s="32"/>
      <c r="AM60" s="33"/>
      <c r="AN60" s="36"/>
      <c r="AO60" s="89"/>
      <c r="AP60" s="32"/>
      <c r="AQ60" s="33"/>
      <c r="AR60" s="36"/>
      <c r="AS60" s="89"/>
      <c r="AT60" s="270">
        <f t="shared" si="4"/>
        <v>47001</v>
      </c>
      <c r="AU60" s="38">
        <f t="shared" si="5"/>
        <v>47001</v>
      </c>
    </row>
    <row r="61" spans="2:47" s="26" customFormat="1" ht="22.5" x14ac:dyDescent="0.25">
      <c r="B61" s="276">
        <v>46</v>
      </c>
      <c r="C61" s="276" t="s">
        <v>39</v>
      </c>
      <c r="D61" s="28" t="s">
        <v>233</v>
      </c>
      <c r="E61" s="304" t="s">
        <v>232</v>
      </c>
      <c r="F61" s="304" t="s">
        <v>147</v>
      </c>
      <c r="G61" s="30" t="s">
        <v>146</v>
      </c>
      <c r="H61" s="42" t="s">
        <v>216</v>
      </c>
      <c r="I61" s="274" t="s">
        <v>57</v>
      </c>
      <c r="J61" s="305">
        <f>1335341</f>
        <v>1335341</v>
      </c>
      <c r="K61" s="31">
        <f>549947</f>
        <v>549947</v>
      </c>
      <c r="L61" s="31">
        <f>16797</f>
        <v>16797</v>
      </c>
      <c r="M61" s="31">
        <f>0</f>
        <v>0</v>
      </c>
      <c r="N61" s="31">
        <f>187748</f>
        <v>187748</v>
      </c>
      <c r="O61" s="31">
        <f>186182</f>
        <v>186182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3"/>
        <v>373930</v>
      </c>
      <c r="Z61" s="32">
        <f>763353</f>
        <v>763353</v>
      </c>
      <c r="AA61" s="104" t="s">
        <v>177</v>
      </c>
      <c r="AB61" s="34">
        <v>44209</v>
      </c>
      <c r="AC61" s="89">
        <v>44243</v>
      </c>
      <c r="AD61" s="32"/>
      <c r="AE61" s="35"/>
      <c r="AF61" s="36"/>
      <c r="AG61" s="89"/>
      <c r="AH61" s="32"/>
      <c r="AI61" s="33"/>
      <c r="AJ61" s="36"/>
      <c r="AK61" s="89"/>
      <c r="AL61" s="32"/>
      <c r="AM61" s="33"/>
      <c r="AN61" s="36"/>
      <c r="AO61" s="89"/>
      <c r="AP61" s="32"/>
      <c r="AQ61" s="33"/>
      <c r="AR61" s="36"/>
      <c r="AS61" s="89"/>
      <c r="AT61" s="270">
        <f t="shared" si="4"/>
        <v>763353</v>
      </c>
      <c r="AU61" s="38">
        <f t="shared" si="5"/>
        <v>389423</v>
      </c>
    </row>
    <row r="62" spans="2:47" s="26" customFormat="1" ht="33.75" customHeight="1" x14ac:dyDescent="0.25">
      <c r="B62" s="276">
        <v>47</v>
      </c>
      <c r="C62" s="276" t="s">
        <v>39</v>
      </c>
      <c r="D62" s="28" t="s">
        <v>231</v>
      </c>
      <c r="E62" s="304" t="s">
        <v>230</v>
      </c>
      <c r="F62" s="304" t="s">
        <v>193</v>
      </c>
      <c r="G62" s="30" t="s">
        <v>146</v>
      </c>
      <c r="H62" s="42" t="s">
        <v>201</v>
      </c>
      <c r="I62" s="274" t="s">
        <v>57</v>
      </c>
      <c r="J62" s="305">
        <f>833063</f>
        <v>833063</v>
      </c>
      <c r="K62" s="31">
        <f>695566</f>
        <v>695566</v>
      </c>
      <c r="L62" s="31">
        <f>1</f>
        <v>1</v>
      </c>
      <c r="M62" s="31">
        <f>0</f>
        <v>0</v>
      </c>
      <c r="N62" s="31">
        <f>0</f>
        <v>0</v>
      </c>
      <c r="O62" s="31">
        <f>0</f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3"/>
        <v>0</v>
      </c>
      <c r="Z62" s="32">
        <f>137496</f>
        <v>137496</v>
      </c>
      <c r="AA62" s="104" t="s">
        <v>177</v>
      </c>
      <c r="AB62" s="34">
        <v>44209</v>
      </c>
      <c r="AC62" s="89">
        <v>44243</v>
      </c>
      <c r="AD62" s="32"/>
      <c r="AE62" s="35"/>
      <c r="AF62" s="36"/>
      <c r="AG62" s="89"/>
      <c r="AH62" s="32"/>
      <c r="AI62" s="33"/>
      <c r="AJ62" s="36"/>
      <c r="AK62" s="89"/>
      <c r="AL62" s="32"/>
      <c r="AM62" s="33"/>
      <c r="AN62" s="36"/>
      <c r="AO62" s="89"/>
      <c r="AP62" s="32"/>
      <c r="AQ62" s="33"/>
      <c r="AR62" s="36"/>
      <c r="AS62" s="89"/>
      <c r="AT62" s="270">
        <f t="shared" si="4"/>
        <v>137496</v>
      </c>
      <c r="AU62" s="38">
        <f t="shared" si="5"/>
        <v>137496</v>
      </c>
    </row>
    <row r="63" spans="2:47" s="26" customFormat="1" ht="22.5" x14ac:dyDescent="0.25">
      <c r="B63" s="276">
        <v>48</v>
      </c>
      <c r="C63" s="276" t="s">
        <v>39</v>
      </c>
      <c r="D63" s="28" t="s">
        <v>229</v>
      </c>
      <c r="E63" s="304" t="s">
        <v>228</v>
      </c>
      <c r="F63" s="304" t="s">
        <v>147</v>
      </c>
      <c r="G63" s="30" t="s">
        <v>146</v>
      </c>
      <c r="H63" s="42" t="s">
        <v>150</v>
      </c>
      <c r="I63" s="274" t="s">
        <v>57</v>
      </c>
      <c r="J63" s="305">
        <f>1050903</f>
        <v>1050903</v>
      </c>
      <c r="K63" s="31">
        <f>966909</f>
        <v>966909</v>
      </c>
      <c r="L63" s="31">
        <f>0</f>
        <v>0</v>
      </c>
      <c r="M63" s="31">
        <f>0</f>
        <v>0</v>
      </c>
      <c r="N63" s="31">
        <f>0</f>
        <v>0</v>
      </c>
      <c r="O63" s="31">
        <f>0</f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3"/>
        <v>0</v>
      </c>
      <c r="Z63" s="32">
        <f>11957+70189</f>
        <v>82146</v>
      </c>
      <c r="AA63" s="104" t="s">
        <v>177</v>
      </c>
      <c r="AB63" s="34">
        <v>44209</v>
      </c>
      <c r="AC63" s="89">
        <v>44243</v>
      </c>
      <c r="AD63" s="32"/>
      <c r="AE63" s="35"/>
      <c r="AF63" s="36"/>
      <c r="AG63" s="89"/>
      <c r="AH63" s="32"/>
      <c r="AI63" s="33"/>
      <c r="AJ63" s="36"/>
      <c r="AK63" s="89"/>
      <c r="AL63" s="32"/>
      <c r="AM63" s="33"/>
      <c r="AN63" s="36"/>
      <c r="AO63" s="89"/>
      <c r="AP63" s="32"/>
      <c r="AQ63" s="33"/>
      <c r="AR63" s="36"/>
      <c r="AS63" s="89"/>
      <c r="AT63" s="270">
        <f t="shared" si="4"/>
        <v>82146</v>
      </c>
      <c r="AU63" s="38">
        <f t="shared" si="5"/>
        <v>82146</v>
      </c>
    </row>
    <row r="64" spans="2:47" s="26" customFormat="1" ht="22.5" x14ac:dyDescent="0.25">
      <c r="B64" s="276">
        <v>49</v>
      </c>
      <c r="C64" s="276" t="s">
        <v>39</v>
      </c>
      <c r="D64" s="28" t="s">
        <v>227</v>
      </c>
      <c r="E64" s="304" t="s">
        <v>226</v>
      </c>
      <c r="F64" s="304" t="s">
        <v>193</v>
      </c>
      <c r="G64" s="30" t="s">
        <v>146</v>
      </c>
      <c r="H64" s="42" t="s">
        <v>150</v>
      </c>
      <c r="I64" s="274" t="s">
        <v>57</v>
      </c>
      <c r="J64" s="305">
        <f>62611</f>
        <v>62611</v>
      </c>
      <c r="K64" s="31">
        <f>51011</f>
        <v>51011</v>
      </c>
      <c r="L64" s="31">
        <f>0</f>
        <v>0</v>
      </c>
      <c r="M64" s="31">
        <f>0</f>
        <v>0</v>
      </c>
      <c r="N64" s="31">
        <f>11600</f>
        <v>11600</v>
      </c>
      <c r="O64" s="31">
        <f>0</f>
        <v>0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3"/>
        <v>11600</v>
      </c>
      <c r="Z64" s="32">
        <f>11600</f>
        <v>11600</v>
      </c>
      <c r="AA64" s="104" t="s">
        <v>177</v>
      </c>
      <c r="AB64" s="34">
        <v>44209</v>
      </c>
      <c r="AC64" s="89">
        <v>44243</v>
      </c>
      <c r="AD64" s="32"/>
      <c r="AE64" s="35"/>
      <c r="AF64" s="36"/>
      <c r="AG64" s="89"/>
      <c r="AH64" s="32"/>
      <c r="AI64" s="33"/>
      <c r="AJ64" s="36"/>
      <c r="AK64" s="89"/>
      <c r="AL64" s="32"/>
      <c r="AM64" s="33"/>
      <c r="AN64" s="36"/>
      <c r="AO64" s="89"/>
      <c r="AP64" s="32"/>
      <c r="AQ64" s="33"/>
      <c r="AR64" s="36"/>
      <c r="AS64" s="89"/>
      <c r="AT64" s="270">
        <f t="shared" si="4"/>
        <v>11600</v>
      </c>
      <c r="AU64" s="38">
        <f t="shared" si="5"/>
        <v>0</v>
      </c>
    </row>
    <row r="65" spans="2:47" s="26" customFormat="1" ht="22.5" x14ac:dyDescent="0.25">
      <c r="B65" s="276">
        <v>50</v>
      </c>
      <c r="C65" s="276" t="s">
        <v>39</v>
      </c>
      <c r="D65" s="28" t="s">
        <v>225</v>
      </c>
      <c r="E65" s="304" t="s">
        <v>224</v>
      </c>
      <c r="F65" s="304" t="s">
        <v>147</v>
      </c>
      <c r="G65" s="30" t="s">
        <v>146</v>
      </c>
      <c r="H65" s="42" t="s">
        <v>150</v>
      </c>
      <c r="I65" s="274" t="s">
        <v>57</v>
      </c>
      <c r="J65" s="306">
        <f>1178226+1</f>
        <v>1178227</v>
      </c>
      <c r="K65" s="31">
        <f>974603</f>
        <v>974603</v>
      </c>
      <c r="L65" s="31">
        <f>0</f>
        <v>0</v>
      </c>
      <c r="M65" s="31">
        <f>0</f>
        <v>0</v>
      </c>
      <c r="N65" s="31">
        <f>0</f>
        <v>0</v>
      </c>
      <c r="O65" s="31">
        <f>149856</f>
        <v>149856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3"/>
        <v>149856</v>
      </c>
      <c r="Z65" s="32">
        <f>53768+149855</f>
        <v>203623</v>
      </c>
      <c r="AA65" s="104" t="s">
        <v>177</v>
      </c>
      <c r="AB65" s="34">
        <v>44209</v>
      </c>
      <c r="AC65" s="89">
        <v>44243</v>
      </c>
      <c r="AD65" s="32">
        <v>1</v>
      </c>
      <c r="AE65" s="104" t="s">
        <v>144</v>
      </c>
      <c r="AF65" s="41">
        <v>44253</v>
      </c>
      <c r="AG65" s="89">
        <v>44281</v>
      </c>
      <c r="AH65" s="32"/>
      <c r="AI65" s="33"/>
      <c r="AJ65" s="36"/>
      <c r="AK65" s="89"/>
      <c r="AL65" s="32"/>
      <c r="AM65" s="33"/>
      <c r="AN65" s="36"/>
      <c r="AO65" s="89"/>
      <c r="AP65" s="32"/>
      <c r="AQ65" s="33"/>
      <c r="AR65" s="36"/>
      <c r="AS65" s="89"/>
      <c r="AT65" s="270">
        <f t="shared" si="4"/>
        <v>203624</v>
      </c>
      <c r="AU65" s="38">
        <f t="shared" si="5"/>
        <v>53768</v>
      </c>
    </row>
    <row r="66" spans="2:47" s="26" customFormat="1" ht="22.5" x14ac:dyDescent="0.25">
      <c r="B66" s="276">
        <v>51</v>
      </c>
      <c r="C66" s="276" t="s">
        <v>39</v>
      </c>
      <c r="D66" s="28" t="s">
        <v>223</v>
      </c>
      <c r="E66" s="304" t="s">
        <v>222</v>
      </c>
      <c r="F66" s="304" t="s">
        <v>147</v>
      </c>
      <c r="G66" s="30" t="s">
        <v>146</v>
      </c>
      <c r="H66" s="42" t="s">
        <v>219</v>
      </c>
      <c r="I66" s="274" t="s">
        <v>57</v>
      </c>
      <c r="J66" s="305">
        <f>257232</f>
        <v>257232</v>
      </c>
      <c r="K66" s="31">
        <f>255732</f>
        <v>255732</v>
      </c>
      <c r="L66" s="31">
        <f>0</f>
        <v>0</v>
      </c>
      <c r="M66" s="31">
        <f>0</f>
        <v>0</v>
      </c>
      <c r="N66" s="31">
        <f>0</f>
        <v>0</v>
      </c>
      <c r="O66" s="31">
        <f>0</f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3"/>
        <v>0</v>
      </c>
      <c r="Z66" s="32">
        <f>1500</f>
        <v>1500</v>
      </c>
      <c r="AA66" s="104" t="s">
        <v>177</v>
      </c>
      <c r="AB66" s="34">
        <v>44209</v>
      </c>
      <c r="AC66" s="89">
        <v>44243</v>
      </c>
      <c r="AD66" s="32"/>
      <c r="AE66" s="35"/>
      <c r="AF66" s="36"/>
      <c r="AG66" s="89"/>
      <c r="AH66" s="32"/>
      <c r="AI66" s="33"/>
      <c r="AJ66" s="36"/>
      <c r="AK66" s="89"/>
      <c r="AL66" s="32"/>
      <c r="AM66" s="33"/>
      <c r="AN66" s="36"/>
      <c r="AO66" s="89"/>
      <c r="AP66" s="32"/>
      <c r="AQ66" s="33"/>
      <c r="AR66" s="36"/>
      <c r="AS66" s="89"/>
      <c r="AT66" s="270">
        <f t="shared" si="4"/>
        <v>1500</v>
      </c>
      <c r="AU66" s="38">
        <f t="shared" si="5"/>
        <v>1500</v>
      </c>
    </row>
    <row r="67" spans="2:47" s="26" customFormat="1" ht="22.5" x14ac:dyDescent="0.25">
      <c r="B67" s="276">
        <v>52</v>
      </c>
      <c r="C67" s="276" t="s">
        <v>39</v>
      </c>
      <c r="D67" s="28" t="s">
        <v>221</v>
      </c>
      <c r="E67" s="304" t="s">
        <v>220</v>
      </c>
      <c r="F67" s="304" t="s">
        <v>147</v>
      </c>
      <c r="G67" s="30" t="s">
        <v>146</v>
      </c>
      <c r="H67" s="42" t="s">
        <v>219</v>
      </c>
      <c r="I67" s="274" t="s">
        <v>57</v>
      </c>
      <c r="J67" s="305">
        <f>487018</f>
        <v>487018</v>
      </c>
      <c r="K67" s="31">
        <f>1416</f>
        <v>1416</v>
      </c>
      <c r="L67" s="31">
        <f>49051</f>
        <v>49051</v>
      </c>
      <c r="M67" s="31">
        <f>0</f>
        <v>0</v>
      </c>
      <c r="N67" s="31">
        <f>0</f>
        <v>0</v>
      </c>
      <c r="O67" s="31">
        <f>0</f>
        <v>0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3"/>
        <v>0</v>
      </c>
      <c r="Z67" s="32">
        <f>16000+361136+25000+911</f>
        <v>403047</v>
      </c>
      <c r="AA67" s="104" t="s">
        <v>177</v>
      </c>
      <c r="AB67" s="34">
        <v>44209</v>
      </c>
      <c r="AC67" s="89">
        <v>44243</v>
      </c>
      <c r="AD67" s="32"/>
      <c r="AE67" s="35"/>
      <c r="AF67" s="36"/>
      <c r="AG67" s="89"/>
      <c r="AH67" s="32"/>
      <c r="AI67" s="33"/>
      <c r="AJ67" s="36"/>
      <c r="AK67" s="89"/>
      <c r="AL67" s="32"/>
      <c r="AM67" s="33"/>
      <c r="AN67" s="36"/>
      <c r="AO67" s="89"/>
      <c r="AP67" s="32"/>
      <c r="AQ67" s="33"/>
      <c r="AR67" s="36"/>
      <c r="AS67" s="89"/>
      <c r="AT67" s="270">
        <f t="shared" si="4"/>
        <v>403047</v>
      </c>
      <c r="AU67" s="38">
        <f t="shared" si="5"/>
        <v>403047</v>
      </c>
    </row>
    <row r="68" spans="2:47" s="26" customFormat="1" ht="22.5" x14ac:dyDescent="0.25">
      <c r="B68" s="276">
        <v>53</v>
      </c>
      <c r="C68" s="276" t="s">
        <v>39</v>
      </c>
      <c r="D68" s="28" t="s">
        <v>218</v>
      </c>
      <c r="E68" s="304" t="s">
        <v>217</v>
      </c>
      <c r="F68" s="304" t="s">
        <v>147</v>
      </c>
      <c r="G68" s="30" t="s">
        <v>146</v>
      </c>
      <c r="H68" s="42" t="s">
        <v>216</v>
      </c>
      <c r="I68" s="274" t="s">
        <v>57</v>
      </c>
      <c r="J68" s="305">
        <f>199810</f>
        <v>199810</v>
      </c>
      <c r="K68" s="31">
        <f>166308</f>
        <v>166308</v>
      </c>
      <c r="L68" s="31">
        <f>0</f>
        <v>0</v>
      </c>
      <c r="M68" s="31">
        <f>0</f>
        <v>0</v>
      </c>
      <c r="N68" s="31">
        <f>0</f>
        <v>0</v>
      </c>
      <c r="O68" s="31">
        <f>1688</f>
        <v>1688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3"/>
        <v>1688</v>
      </c>
      <c r="Z68" s="32">
        <f>31813</f>
        <v>31813</v>
      </c>
      <c r="AA68" s="104" t="s">
        <v>177</v>
      </c>
      <c r="AB68" s="34">
        <v>44209</v>
      </c>
      <c r="AC68" s="89">
        <v>44243</v>
      </c>
      <c r="AD68" s="32">
        <f>1688-1688</f>
        <v>0</v>
      </c>
      <c r="AE68" s="104" t="s">
        <v>144</v>
      </c>
      <c r="AF68" s="41">
        <v>44253</v>
      </c>
      <c r="AG68" s="89">
        <v>44281</v>
      </c>
      <c r="AH68" s="32"/>
      <c r="AI68" s="33"/>
      <c r="AJ68" s="36"/>
      <c r="AK68" s="89"/>
      <c r="AL68" s="32"/>
      <c r="AM68" s="33"/>
      <c r="AN68" s="36"/>
      <c r="AO68" s="89"/>
      <c r="AP68" s="32"/>
      <c r="AQ68" s="33"/>
      <c r="AR68" s="36"/>
      <c r="AS68" s="89"/>
      <c r="AT68" s="270">
        <f t="shared" si="4"/>
        <v>31813</v>
      </c>
      <c r="AU68" s="38">
        <f t="shared" si="5"/>
        <v>30125</v>
      </c>
    </row>
    <row r="69" spans="2:47" s="26" customFormat="1" ht="22.5" x14ac:dyDescent="0.25">
      <c r="B69" s="276">
        <v>54</v>
      </c>
      <c r="C69" s="276" t="s">
        <v>39</v>
      </c>
      <c r="D69" s="28" t="s">
        <v>215</v>
      </c>
      <c r="E69" s="304" t="s">
        <v>214</v>
      </c>
      <c r="F69" s="304" t="s">
        <v>147</v>
      </c>
      <c r="G69" s="30" t="s">
        <v>146</v>
      </c>
      <c r="H69" s="42" t="s">
        <v>146</v>
      </c>
      <c r="I69" s="274" t="s">
        <v>57</v>
      </c>
      <c r="J69" s="305">
        <f>2922784</f>
        <v>2922784</v>
      </c>
      <c r="K69" s="31">
        <f>7196</f>
        <v>7196</v>
      </c>
      <c r="L69" s="31">
        <f>1309206</f>
        <v>1309206</v>
      </c>
      <c r="M69" s="31">
        <f>0</f>
        <v>0</v>
      </c>
      <c r="N69" s="31">
        <f>194392</f>
        <v>194392</v>
      </c>
      <c r="O69" s="31">
        <f>800</f>
        <v>800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3"/>
        <v>195192</v>
      </c>
      <c r="Z69" s="32">
        <f>36838+1499599+15162</f>
        <v>1551599</v>
      </c>
      <c r="AA69" s="104" t="s">
        <v>177</v>
      </c>
      <c r="AB69" s="34">
        <v>44209</v>
      </c>
      <c r="AC69" s="89">
        <v>44243</v>
      </c>
      <c r="AD69" s="32"/>
      <c r="AE69" s="35"/>
      <c r="AF69" s="36"/>
      <c r="AG69" s="89"/>
      <c r="AH69" s="32"/>
      <c r="AI69" s="33"/>
      <c r="AJ69" s="36"/>
      <c r="AK69" s="89"/>
      <c r="AL69" s="32"/>
      <c r="AM69" s="33"/>
      <c r="AN69" s="36"/>
      <c r="AO69" s="89"/>
      <c r="AP69" s="32"/>
      <c r="AQ69" s="33"/>
      <c r="AR69" s="36"/>
      <c r="AS69" s="89"/>
      <c r="AT69" s="270">
        <f t="shared" si="4"/>
        <v>1551599</v>
      </c>
      <c r="AU69" s="38">
        <f t="shared" si="5"/>
        <v>1356407</v>
      </c>
    </row>
    <row r="70" spans="2:47" s="26" customFormat="1" ht="22.5" customHeight="1" x14ac:dyDescent="0.25">
      <c r="B70" s="276">
        <v>55</v>
      </c>
      <c r="C70" s="276" t="s">
        <v>39</v>
      </c>
      <c r="D70" s="28" t="s">
        <v>213</v>
      </c>
      <c r="E70" s="304" t="s">
        <v>212</v>
      </c>
      <c r="F70" s="304" t="s">
        <v>147</v>
      </c>
      <c r="G70" s="30" t="s">
        <v>146</v>
      </c>
      <c r="H70" s="42" t="s">
        <v>174</v>
      </c>
      <c r="I70" s="274" t="s">
        <v>57</v>
      </c>
      <c r="J70" s="305">
        <f>3048659</f>
        <v>3048659</v>
      </c>
      <c r="K70" s="31">
        <f>395110</f>
        <v>395110</v>
      </c>
      <c r="L70" s="31">
        <f>1768534</f>
        <v>1768534</v>
      </c>
      <c r="M70" s="31">
        <f>0</f>
        <v>0</v>
      </c>
      <c r="N70" s="31">
        <f>279836</f>
        <v>279836</v>
      </c>
      <c r="O70" s="31">
        <f>83361</f>
        <v>83361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3"/>
        <v>363197</v>
      </c>
      <c r="Z70" s="32">
        <f>17390+632319+1000+1000</f>
        <v>651709</v>
      </c>
      <c r="AA70" s="104" t="s">
        <v>177</v>
      </c>
      <c r="AB70" s="34">
        <v>44209</v>
      </c>
      <c r="AC70" s="89">
        <v>44243</v>
      </c>
      <c r="AD70" s="32"/>
      <c r="AE70" s="35"/>
      <c r="AF70" s="36"/>
      <c r="AG70" s="89"/>
      <c r="AH70" s="32"/>
      <c r="AI70" s="33"/>
      <c r="AJ70" s="36"/>
      <c r="AK70" s="89"/>
      <c r="AL70" s="32"/>
      <c r="AM70" s="33"/>
      <c r="AN70" s="36"/>
      <c r="AO70" s="89"/>
      <c r="AP70" s="32"/>
      <c r="AQ70" s="33"/>
      <c r="AR70" s="36"/>
      <c r="AS70" s="89"/>
      <c r="AT70" s="270">
        <f t="shared" si="4"/>
        <v>651709</v>
      </c>
      <c r="AU70" s="38">
        <f t="shared" si="5"/>
        <v>288512</v>
      </c>
    </row>
    <row r="71" spans="2:47" s="26" customFormat="1" ht="22.5" x14ac:dyDescent="0.25">
      <c r="B71" s="276">
        <v>56</v>
      </c>
      <c r="C71" s="276" t="s">
        <v>39</v>
      </c>
      <c r="D71" s="28" t="s">
        <v>211</v>
      </c>
      <c r="E71" s="304" t="s">
        <v>210</v>
      </c>
      <c r="F71" s="304" t="s">
        <v>193</v>
      </c>
      <c r="G71" s="30" t="s">
        <v>146</v>
      </c>
      <c r="H71" s="42" t="s">
        <v>181</v>
      </c>
      <c r="I71" s="274" t="s">
        <v>57</v>
      </c>
      <c r="J71" s="305">
        <f>22877</f>
        <v>22877</v>
      </c>
      <c r="K71" s="31">
        <f>21377</f>
        <v>21377</v>
      </c>
      <c r="L71" s="31">
        <f>0</f>
        <v>0</v>
      </c>
      <c r="M71" s="31">
        <f>0</f>
        <v>0</v>
      </c>
      <c r="N71" s="31">
        <f>0</f>
        <v>0</v>
      </c>
      <c r="O71" s="31">
        <f>0</f>
        <v>0</v>
      </c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3"/>
        <v>0</v>
      </c>
      <c r="Z71" s="32">
        <f>1500</f>
        <v>1500</v>
      </c>
      <c r="AA71" s="104" t="s">
        <v>177</v>
      </c>
      <c r="AB71" s="34">
        <v>44209</v>
      </c>
      <c r="AC71" s="89">
        <v>44243</v>
      </c>
      <c r="AD71" s="32"/>
      <c r="AE71" s="35"/>
      <c r="AF71" s="36"/>
      <c r="AG71" s="89"/>
      <c r="AH71" s="32"/>
      <c r="AI71" s="33"/>
      <c r="AJ71" s="36"/>
      <c r="AK71" s="89"/>
      <c r="AL71" s="32"/>
      <c r="AM71" s="33"/>
      <c r="AN71" s="36"/>
      <c r="AO71" s="89"/>
      <c r="AP71" s="32"/>
      <c r="AQ71" s="33"/>
      <c r="AR71" s="36"/>
      <c r="AS71" s="89"/>
      <c r="AT71" s="270">
        <f t="shared" si="4"/>
        <v>1500</v>
      </c>
      <c r="AU71" s="38">
        <f t="shared" si="5"/>
        <v>1500</v>
      </c>
    </row>
    <row r="72" spans="2:47" s="26" customFormat="1" ht="22.5" x14ac:dyDescent="0.25">
      <c r="B72" s="276">
        <v>57</v>
      </c>
      <c r="C72" s="276" t="s">
        <v>39</v>
      </c>
      <c r="D72" s="28" t="s">
        <v>209</v>
      </c>
      <c r="E72" s="304" t="s">
        <v>208</v>
      </c>
      <c r="F72" s="304" t="s">
        <v>193</v>
      </c>
      <c r="G72" s="30" t="s">
        <v>146</v>
      </c>
      <c r="H72" s="42" t="s">
        <v>181</v>
      </c>
      <c r="I72" s="274" t="s">
        <v>57</v>
      </c>
      <c r="J72" s="305">
        <f>57030</f>
        <v>57030</v>
      </c>
      <c r="K72" s="31">
        <f>46536</f>
        <v>46536</v>
      </c>
      <c r="L72" s="31">
        <f>0</f>
        <v>0</v>
      </c>
      <c r="M72" s="31">
        <f>0</f>
        <v>0</v>
      </c>
      <c r="N72" s="31">
        <f>0</f>
        <v>0</v>
      </c>
      <c r="O72" s="31">
        <f>0</f>
        <v>0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3"/>
        <v>0</v>
      </c>
      <c r="Z72" s="32">
        <f>10493</f>
        <v>10493</v>
      </c>
      <c r="AA72" s="104" t="s">
        <v>177</v>
      </c>
      <c r="AB72" s="34">
        <v>44209</v>
      </c>
      <c r="AC72" s="89">
        <v>44243</v>
      </c>
      <c r="AD72" s="32"/>
      <c r="AE72" s="35"/>
      <c r="AF72" s="36"/>
      <c r="AG72" s="89"/>
      <c r="AH72" s="32"/>
      <c r="AI72" s="33"/>
      <c r="AJ72" s="36"/>
      <c r="AK72" s="89"/>
      <c r="AL72" s="32"/>
      <c r="AM72" s="33"/>
      <c r="AN72" s="36"/>
      <c r="AO72" s="89"/>
      <c r="AP72" s="32"/>
      <c r="AQ72" s="33"/>
      <c r="AR72" s="36"/>
      <c r="AS72" s="89"/>
      <c r="AT72" s="270">
        <f t="shared" si="4"/>
        <v>10493</v>
      </c>
      <c r="AU72" s="38">
        <f t="shared" si="5"/>
        <v>10493</v>
      </c>
    </row>
    <row r="73" spans="2:47" s="26" customFormat="1" ht="22.5" x14ac:dyDescent="0.25">
      <c r="B73" s="276">
        <v>58</v>
      </c>
      <c r="C73" s="276" t="s">
        <v>39</v>
      </c>
      <c r="D73" s="28" t="s">
        <v>207</v>
      </c>
      <c r="E73" s="304" t="s">
        <v>206</v>
      </c>
      <c r="F73" s="304" t="s">
        <v>193</v>
      </c>
      <c r="G73" s="30" t="s">
        <v>146</v>
      </c>
      <c r="H73" s="42" t="s">
        <v>181</v>
      </c>
      <c r="I73" s="274" t="s">
        <v>57</v>
      </c>
      <c r="J73" s="305">
        <f>22866</f>
        <v>22866</v>
      </c>
      <c r="K73" s="31">
        <f>21366</f>
        <v>21366</v>
      </c>
      <c r="L73" s="31">
        <f>0</f>
        <v>0</v>
      </c>
      <c r="M73" s="31">
        <f>0</f>
        <v>0</v>
      </c>
      <c r="N73" s="31">
        <f>0</f>
        <v>0</v>
      </c>
      <c r="O73" s="31">
        <f>0</f>
        <v>0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3"/>
        <v>0</v>
      </c>
      <c r="Z73" s="32">
        <f>1500</f>
        <v>1500</v>
      </c>
      <c r="AA73" s="104" t="s">
        <v>177</v>
      </c>
      <c r="AB73" s="34">
        <v>44209</v>
      </c>
      <c r="AC73" s="89">
        <v>44243</v>
      </c>
      <c r="AD73" s="32"/>
      <c r="AE73" s="35"/>
      <c r="AF73" s="36"/>
      <c r="AG73" s="89"/>
      <c r="AH73" s="32"/>
      <c r="AI73" s="33"/>
      <c r="AJ73" s="36"/>
      <c r="AK73" s="89"/>
      <c r="AL73" s="32"/>
      <c r="AM73" s="33"/>
      <c r="AN73" s="36"/>
      <c r="AO73" s="89"/>
      <c r="AP73" s="32"/>
      <c r="AQ73" s="33"/>
      <c r="AR73" s="36"/>
      <c r="AS73" s="89"/>
      <c r="AT73" s="270">
        <f t="shared" si="4"/>
        <v>1500</v>
      </c>
      <c r="AU73" s="38">
        <f t="shared" si="5"/>
        <v>1500</v>
      </c>
    </row>
    <row r="74" spans="2:47" s="26" customFormat="1" ht="22.5" customHeight="1" x14ac:dyDescent="0.25">
      <c r="B74" s="276">
        <v>59</v>
      </c>
      <c r="C74" s="276" t="s">
        <v>39</v>
      </c>
      <c r="D74" s="28" t="s">
        <v>205</v>
      </c>
      <c r="E74" s="304" t="s">
        <v>204</v>
      </c>
      <c r="F74" s="304" t="s">
        <v>147</v>
      </c>
      <c r="G74" s="30" t="s">
        <v>146</v>
      </c>
      <c r="H74" s="42" t="s">
        <v>158</v>
      </c>
      <c r="I74" s="274" t="s">
        <v>57</v>
      </c>
      <c r="J74" s="305">
        <f>166543</f>
        <v>166543</v>
      </c>
      <c r="K74" s="31">
        <f>81425</f>
        <v>81425</v>
      </c>
      <c r="L74" s="31">
        <f>0</f>
        <v>0</v>
      </c>
      <c r="M74" s="31">
        <f>0</f>
        <v>0</v>
      </c>
      <c r="N74" s="31">
        <f>15887</f>
        <v>15887</v>
      </c>
      <c r="O74" s="31">
        <f>2643</f>
        <v>2643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3"/>
        <v>18530</v>
      </c>
      <c r="Z74" s="32">
        <f>13738+26468+41596</f>
        <v>81802</v>
      </c>
      <c r="AA74" s="104" t="s">
        <v>177</v>
      </c>
      <c r="AB74" s="34">
        <v>44209</v>
      </c>
      <c r="AC74" s="89">
        <v>44243</v>
      </c>
      <c r="AD74" s="32"/>
      <c r="AE74" s="35"/>
      <c r="AF74" s="36"/>
      <c r="AG74" s="89"/>
      <c r="AH74" s="32"/>
      <c r="AI74" s="33"/>
      <c r="AJ74" s="36"/>
      <c r="AK74" s="89"/>
      <c r="AL74" s="32"/>
      <c r="AM74" s="33"/>
      <c r="AN74" s="36"/>
      <c r="AO74" s="89"/>
      <c r="AP74" s="32"/>
      <c r="AQ74" s="33"/>
      <c r="AR74" s="36"/>
      <c r="AS74" s="89"/>
      <c r="AT74" s="270">
        <f t="shared" si="4"/>
        <v>81802</v>
      </c>
      <c r="AU74" s="38">
        <f t="shared" si="5"/>
        <v>63272</v>
      </c>
    </row>
    <row r="75" spans="2:47" s="26" customFormat="1" ht="22.5" x14ac:dyDescent="0.25">
      <c r="B75" s="276">
        <v>60</v>
      </c>
      <c r="C75" s="276" t="s">
        <v>39</v>
      </c>
      <c r="D75" s="28" t="s">
        <v>203</v>
      </c>
      <c r="E75" s="304" t="s">
        <v>202</v>
      </c>
      <c r="F75" s="304" t="s">
        <v>147</v>
      </c>
      <c r="G75" s="30" t="s">
        <v>146</v>
      </c>
      <c r="H75" s="42" t="s">
        <v>201</v>
      </c>
      <c r="I75" s="274" t="s">
        <v>57</v>
      </c>
      <c r="J75" s="305">
        <f>9303046</f>
        <v>9303046</v>
      </c>
      <c r="K75" s="31">
        <f>5814575</f>
        <v>5814575</v>
      </c>
      <c r="L75" s="31">
        <v>28935</v>
      </c>
      <c r="M75" s="31">
        <f>0</f>
        <v>0</v>
      </c>
      <c r="N75" s="31">
        <f>468449</f>
        <v>468449</v>
      </c>
      <c r="O75" s="31">
        <f>411024</f>
        <v>411024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3"/>
        <v>879473</v>
      </c>
      <c r="Z75" s="32">
        <f>21600+1200000</f>
        <v>1221600</v>
      </c>
      <c r="AA75" s="104" t="s">
        <v>177</v>
      </c>
      <c r="AB75" s="34">
        <v>44209</v>
      </c>
      <c r="AC75" s="89">
        <v>44243</v>
      </c>
      <c r="AD75" s="32"/>
      <c r="AE75" s="35"/>
      <c r="AF75" s="36"/>
      <c r="AG75" s="89"/>
      <c r="AH75" s="32"/>
      <c r="AI75" s="33"/>
      <c r="AJ75" s="36"/>
      <c r="AK75" s="89"/>
      <c r="AL75" s="32"/>
      <c r="AM75" s="33"/>
      <c r="AN75" s="36"/>
      <c r="AO75" s="89"/>
      <c r="AP75" s="32"/>
      <c r="AQ75" s="33"/>
      <c r="AR75" s="36"/>
      <c r="AS75" s="89"/>
      <c r="AT75" s="270">
        <f t="shared" si="4"/>
        <v>1221600</v>
      </c>
      <c r="AU75" s="38">
        <f t="shared" si="5"/>
        <v>342127</v>
      </c>
    </row>
    <row r="76" spans="2:47" s="26" customFormat="1" ht="22.5" x14ac:dyDescent="0.25">
      <c r="B76" s="276">
        <v>61</v>
      </c>
      <c r="C76" s="276" t="s">
        <v>39</v>
      </c>
      <c r="D76" s="28" t="s">
        <v>200</v>
      </c>
      <c r="E76" s="304" t="s">
        <v>199</v>
      </c>
      <c r="F76" s="304" t="s">
        <v>147</v>
      </c>
      <c r="G76" s="30" t="s">
        <v>146</v>
      </c>
      <c r="H76" s="42" t="s">
        <v>198</v>
      </c>
      <c r="I76" s="274" t="s">
        <v>72</v>
      </c>
      <c r="J76" s="305">
        <f>2181513</f>
        <v>2181513</v>
      </c>
      <c r="K76" s="31">
        <f>4196</f>
        <v>4196</v>
      </c>
      <c r="L76" s="31">
        <f>1446824</f>
        <v>1446824</v>
      </c>
      <c r="M76" s="31">
        <f>0</f>
        <v>0</v>
      </c>
      <c r="N76" s="31">
        <f>513224</f>
        <v>513224</v>
      </c>
      <c r="O76" s="31">
        <f>205656</f>
        <v>205656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3"/>
        <v>718880</v>
      </c>
      <c r="Z76" s="32">
        <f>10002+720000</f>
        <v>730002</v>
      </c>
      <c r="AA76" s="104" t="s">
        <v>177</v>
      </c>
      <c r="AB76" s="34">
        <v>44209</v>
      </c>
      <c r="AC76" s="89">
        <v>44243</v>
      </c>
      <c r="AD76" s="32"/>
      <c r="AE76" s="35"/>
      <c r="AF76" s="36"/>
      <c r="AG76" s="89"/>
      <c r="AH76" s="32"/>
      <c r="AI76" s="33"/>
      <c r="AJ76" s="36"/>
      <c r="AK76" s="89"/>
      <c r="AL76" s="32"/>
      <c r="AM76" s="33"/>
      <c r="AN76" s="36"/>
      <c r="AO76" s="89"/>
      <c r="AP76" s="32"/>
      <c r="AQ76" s="33"/>
      <c r="AR76" s="36"/>
      <c r="AS76" s="89"/>
      <c r="AT76" s="270">
        <f t="shared" si="4"/>
        <v>730002</v>
      </c>
      <c r="AU76" s="38">
        <f t="shared" si="5"/>
        <v>11122</v>
      </c>
    </row>
    <row r="77" spans="2:47" s="26" customFormat="1" ht="22.5" customHeight="1" x14ac:dyDescent="0.25">
      <c r="B77" s="276">
        <v>62</v>
      </c>
      <c r="C77" s="276" t="s">
        <v>39</v>
      </c>
      <c r="D77" s="28" t="s">
        <v>197</v>
      </c>
      <c r="E77" s="304" t="s">
        <v>196</v>
      </c>
      <c r="F77" s="304" t="s">
        <v>193</v>
      </c>
      <c r="G77" s="30" t="s">
        <v>146</v>
      </c>
      <c r="H77" s="42" t="s">
        <v>190</v>
      </c>
      <c r="I77" s="274" t="s">
        <v>57</v>
      </c>
      <c r="J77" s="305">
        <f>59864</f>
        <v>59864</v>
      </c>
      <c r="K77" s="31">
        <f>47024</f>
        <v>47024</v>
      </c>
      <c r="L77" s="31">
        <f>0</f>
        <v>0</v>
      </c>
      <c r="M77" s="31">
        <f>0</f>
        <v>0</v>
      </c>
      <c r="N77" s="31">
        <f>0</f>
        <v>0</v>
      </c>
      <c r="O77" s="31">
        <f>0</f>
        <v>0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3"/>
        <v>0</v>
      </c>
      <c r="Z77" s="32">
        <f>12840</f>
        <v>12840</v>
      </c>
      <c r="AA77" s="104" t="s">
        <v>177</v>
      </c>
      <c r="AB77" s="34">
        <v>44209</v>
      </c>
      <c r="AC77" s="89">
        <v>44243</v>
      </c>
      <c r="AD77" s="32"/>
      <c r="AE77" s="35"/>
      <c r="AF77" s="36"/>
      <c r="AG77" s="89"/>
      <c r="AH77" s="32"/>
      <c r="AI77" s="33"/>
      <c r="AJ77" s="36"/>
      <c r="AK77" s="89"/>
      <c r="AL77" s="32"/>
      <c r="AM77" s="33"/>
      <c r="AN77" s="36"/>
      <c r="AO77" s="89"/>
      <c r="AP77" s="32"/>
      <c r="AQ77" s="33"/>
      <c r="AR77" s="36"/>
      <c r="AS77" s="89"/>
      <c r="AT77" s="270">
        <f t="shared" si="4"/>
        <v>12840</v>
      </c>
      <c r="AU77" s="38">
        <f t="shared" si="5"/>
        <v>12840</v>
      </c>
    </row>
    <row r="78" spans="2:47" s="26" customFormat="1" ht="22.5" x14ac:dyDescent="0.25">
      <c r="B78" s="276">
        <v>63</v>
      </c>
      <c r="C78" s="276" t="s">
        <v>39</v>
      </c>
      <c r="D78" s="28" t="s">
        <v>195</v>
      </c>
      <c r="E78" s="304" t="s">
        <v>194</v>
      </c>
      <c r="F78" s="304" t="s">
        <v>193</v>
      </c>
      <c r="G78" s="30" t="s">
        <v>146</v>
      </c>
      <c r="H78" s="42" t="s">
        <v>181</v>
      </c>
      <c r="I78" s="274" t="s">
        <v>57</v>
      </c>
      <c r="J78" s="305">
        <f>21809</f>
        <v>21809</v>
      </c>
      <c r="K78" s="31">
        <f>20359</f>
        <v>20359</v>
      </c>
      <c r="L78" s="31">
        <f>0</f>
        <v>0</v>
      </c>
      <c r="M78" s="31">
        <f>0</f>
        <v>0</v>
      </c>
      <c r="N78" s="31">
        <f>0</f>
        <v>0</v>
      </c>
      <c r="O78" s="31">
        <f>0</f>
        <v>0</v>
      </c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3"/>
        <v>0</v>
      </c>
      <c r="Z78" s="32">
        <v>1450</v>
      </c>
      <c r="AA78" s="104" t="s">
        <v>177</v>
      </c>
      <c r="AB78" s="34">
        <v>44209</v>
      </c>
      <c r="AC78" s="89">
        <v>44243</v>
      </c>
      <c r="AD78" s="32"/>
      <c r="AE78" s="35"/>
      <c r="AF78" s="36"/>
      <c r="AG78" s="89"/>
      <c r="AH78" s="32"/>
      <c r="AI78" s="33"/>
      <c r="AJ78" s="36"/>
      <c r="AK78" s="89"/>
      <c r="AL78" s="32"/>
      <c r="AM78" s="33"/>
      <c r="AN78" s="36"/>
      <c r="AO78" s="89"/>
      <c r="AP78" s="32"/>
      <c r="AQ78" s="33"/>
      <c r="AR78" s="36"/>
      <c r="AS78" s="89"/>
      <c r="AT78" s="270">
        <f t="shared" si="4"/>
        <v>1450</v>
      </c>
      <c r="AU78" s="38">
        <f t="shared" si="5"/>
        <v>1450</v>
      </c>
    </row>
    <row r="79" spans="2:47" s="26" customFormat="1" x14ac:dyDescent="0.25">
      <c r="B79" s="276">
        <v>64</v>
      </c>
      <c r="C79" s="276" t="s">
        <v>39</v>
      </c>
      <c r="D79" s="28" t="s">
        <v>192</v>
      </c>
      <c r="E79" s="304" t="s">
        <v>191</v>
      </c>
      <c r="F79" s="304" t="s">
        <v>147</v>
      </c>
      <c r="G79" s="30" t="s">
        <v>146</v>
      </c>
      <c r="H79" s="42" t="s">
        <v>190</v>
      </c>
      <c r="I79" s="274" t="s">
        <v>72</v>
      </c>
      <c r="J79" s="305">
        <f>1738357</f>
        <v>1738357</v>
      </c>
      <c r="K79" s="31">
        <f>14514</f>
        <v>14514</v>
      </c>
      <c r="L79" s="31">
        <f>990693</f>
        <v>990693</v>
      </c>
      <c r="M79" s="31">
        <f>0</f>
        <v>0</v>
      </c>
      <c r="N79" s="31">
        <f>0</f>
        <v>0</v>
      </c>
      <c r="O79" s="31">
        <f>0</f>
        <v>0</v>
      </c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3"/>
        <v>0</v>
      </c>
      <c r="Z79" s="32">
        <f>12600+627098</f>
        <v>639698</v>
      </c>
      <c r="AA79" s="104" t="s">
        <v>177</v>
      </c>
      <c r="AB79" s="34">
        <v>44209</v>
      </c>
      <c r="AC79" s="89">
        <v>44243</v>
      </c>
      <c r="AD79" s="32"/>
      <c r="AE79" s="35"/>
      <c r="AF79" s="36"/>
      <c r="AG79" s="89"/>
      <c r="AH79" s="32"/>
      <c r="AI79" s="33"/>
      <c r="AJ79" s="36"/>
      <c r="AK79" s="89"/>
      <c r="AL79" s="32"/>
      <c r="AM79" s="33"/>
      <c r="AN79" s="36"/>
      <c r="AO79" s="89"/>
      <c r="AP79" s="32"/>
      <c r="AQ79" s="33"/>
      <c r="AR79" s="36"/>
      <c r="AS79" s="89"/>
      <c r="AT79" s="270">
        <f t="shared" si="4"/>
        <v>639698</v>
      </c>
      <c r="AU79" s="38">
        <f t="shared" si="5"/>
        <v>639698</v>
      </c>
    </row>
    <row r="80" spans="2:47" s="26" customFormat="1" ht="22.5" x14ac:dyDescent="0.25">
      <c r="B80" s="276">
        <v>65</v>
      </c>
      <c r="C80" s="276" t="s">
        <v>39</v>
      </c>
      <c r="D80" s="28" t="s">
        <v>189</v>
      </c>
      <c r="E80" s="304" t="s">
        <v>188</v>
      </c>
      <c r="F80" s="304" t="s">
        <v>167</v>
      </c>
      <c r="G80" s="30" t="s">
        <v>146</v>
      </c>
      <c r="H80" s="42"/>
      <c r="I80" s="274" t="s">
        <v>57</v>
      </c>
      <c r="J80" s="305">
        <f>160337</f>
        <v>160337</v>
      </c>
      <c r="K80" s="31">
        <f>5266</f>
        <v>5266</v>
      </c>
      <c r="L80" s="31">
        <f>42934</f>
        <v>42934</v>
      </c>
      <c r="M80" s="31">
        <f>0</f>
        <v>0</v>
      </c>
      <c r="N80" s="31">
        <f>7000</f>
        <v>7000</v>
      </c>
      <c r="O80" s="31">
        <f>14000</f>
        <v>14000</v>
      </c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ref="Y80:Y94" si="6">SUM(M80:X80)</f>
        <v>21000</v>
      </c>
      <c r="Z80" s="32">
        <f>102400</f>
        <v>102400</v>
      </c>
      <c r="AA80" s="104" t="s">
        <v>177</v>
      </c>
      <c r="AB80" s="34">
        <v>44209</v>
      </c>
      <c r="AC80" s="89">
        <v>44243</v>
      </c>
      <c r="AD80" s="32"/>
      <c r="AE80" s="35"/>
      <c r="AF80" s="36"/>
      <c r="AG80" s="89"/>
      <c r="AH80" s="32"/>
      <c r="AI80" s="33"/>
      <c r="AJ80" s="36"/>
      <c r="AK80" s="89"/>
      <c r="AL80" s="32"/>
      <c r="AM80" s="33"/>
      <c r="AN80" s="36"/>
      <c r="AO80" s="89"/>
      <c r="AP80" s="32"/>
      <c r="AQ80" s="33"/>
      <c r="AR80" s="36"/>
      <c r="AS80" s="89"/>
      <c r="AT80" s="270">
        <f t="shared" ref="AT80:AT94" si="7">+Z80+AD80+AH80+AL80+AP80</f>
        <v>102400</v>
      </c>
      <c r="AU80" s="38">
        <f t="shared" ref="AU80:AU111" si="8">+AT80-Y80</f>
        <v>81400</v>
      </c>
    </row>
    <row r="81" spans="2:47" s="26" customFormat="1" ht="22.5" x14ac:dyDescent="0.25">
      <c r="B81" s="276">
        <v>66</v>
      </c>
      <c r="C81" s="276" t="s">
        <v>39</v>
      </c>
      <c r="D81" s="28" t="s">
        <v>187</v>
      </c>
      <c r="E81" s="304" t="s">
        <v>186</v>
      </c>
      <c r="F81" s="304" t="s">
        <v>147</v>
      </c>
      <c r="G81" s="30" t="s">
        <v>146</v>
      </c>
      <c r="H81" s="42" t="s">
        <v>181</v>
      </c>
      <c r="I81" s="274" t="s">
        <v>57</v>
      </c>
      <c r="J81" s="305">
        <f>787719</f>
        <v>787719</v>
      </c>
      <c r="K81" s="31">
        <f>673509</f>
        <v>673509</v>
      </c>
      <c r="L81" s="31">
        <f>0</f>
        <v>0</v>
      </c>
      <c r="M81" s="31">
        <f>0</f>
        <v>0</v>
      </c>
      <c r="N81" s="31">
        <f>111960</f>
        <v>111960</v>
      </c>
      <c r="O81" s="31">
        <f>0</f>
        <v>0</v>
      </c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si="6"/>
        <v>111960</v>
      </c>
      <c r="Z81" s="32">
        <f>111960</f>
        <v>111960</v>
      </c>
      <c r="AA81" s="104" t="s">
        <v>177</v>
      </c>
      <c r="AB81" s="34">
        <v>44209</v>
      </c>
      <c r="AC81" s="89">
        <v>44243</v>
      </c>
      <c r="AD81" s="32"/>
      <c r="AE81" s="35"/>
      <c r="AF81" s="36"/>
      <c r="AG81" s="89"/>
      <c r="AH81" s="32"/>
      <c r="AI81" s="33"/>
      <c r="AJ81" s="36"/>
      <c r="AK81" s="89"/>
      <c r="AL81" s="32"/>
      <c r="AM81" s="33"/>
      <c r="AN81" s="36"/>
      <c r="AO81" s="89"/>
      <c r="AP81" s="32"/>
      <c r="AQ81" s="33"/>
      <c r="AR81" s="36"/>
      <c r="AS81" s="89"/>
      <c r="AT81" s="270">
        <f t="shared" si="7"/>
        <v>111960</v>
      </c>
      <c r="AU81" s="38">
        <f t="shared" si="8"/>
        <v>0</v>
      </c>
    </row>
    <row r="82" spans="2:47" s="26" customFormat="1" ht="22.5" x14ac:dyDescent="0.25">
      <c r="B82" s="276">
        <v>67</v>
      </c>
      <c r="C82" s="276" t="s">
        <v>39</v>
      </c>
      <c r="D82" s="28" t="s">
        <v>185</v>
      </c>
      <c r="E82" s="304" t="s">
        <v>184</v>
      </c>
      <c r="F82" s="304" t="s">
        <v>147</v>
      </c>
      <c r="G82" s="30" t="s">
        <v>146</v>
      </c>
      <c r="H82" s="42" t="s">
        <v>145</v>
      </c>
      <c r="I82" s="274" t="s">
        <v>57</v>
      </c>
      <c r="J82" s="305">
        <f>495023</f>
        <v>495023</v>
      </c>
      <c r="K82" s="31">
        <f>3146</f>
        <v>3146</v>
      </c>
      <c r="L82" s="31">
        <f>1</f>
        <v>1</v>
      </c>
      <c r="M82" s="31">
        <f>0</f>
        <v>0</v>
      </c>
      <c r="N82" s="31">
        <f>300370</f>
        <v>300370</v>
      </c>
      <c r="O82" s="31">
        <f>0</f>
        <v>0</v>
      </c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6"/>
        <v>300370</v>
      </c>
      <c r="Z82" s="32">
        <f>8876+352431</f>
        <v>361307</v>
      </c>
      <c r="AA82" s="104" t="s">
        <v>177</v>
      </c>
      <c r="AB82" s="34">
        <v>44209</v>
      </c>
      <c r="AC82" s="89">
        <v>44243</v>
      </c>
      <c r="AD82" s="32"/>
      <c r="AE82" s="35"/>
      <c r="AF82" s="36"/>
      <c r="AG82" s="89"/>
      <c r="AH82" s="32"/>
      <c r="AI82" s="33"/>
      <c r="AJ82" s="36"/>
      <c r="AK82" s="89"/>
      <c r="AL82" s="32"/>
      <c r="AM82" s="33"/>
      <c r="AN82" s="36"/>
      <c r="AO82" s="89"/>
      <c r="AP82" s="32"/>
      <c r="AQ82" s="33"/>
      <c r="AR82" s="36"/>
      <c r="AS82" s="89"/>
      <c r="AT82" s="270">
        <f t="shared" si="7"/>
        <v>361307</v>
      </c>
      <c r="AU82" s="38">
        <f t="shared" si="8"/>
        <v>60937</v>
      </c>
    </row>
    <row r="83" spans="2:47" s="26" customFormat="1" ht="22.5" x14ac:dyDescent="0.25">
      <c r="B83" s="276">
        <v>68</v>
      </c>
      <c r="C83" s="276" t="s">
        <v>39</v>
      </c>
      <c r="D83" s="28" t="s">
        <v>183</v>
      </c>
      <c r="E83" s="304" t="s">
        <v>182</v>
      </c>
      <c r="F83" s="304" t="s">
        <v>147</v>
      </c>
      <c r="G83" s="30" t="s">
        <v>146</v>
      </c>
      <c r="H83" s="42" t="s">
        <v>181</v>
      </c>
      <c r="I83" s="274" t="s">
        <v>57</v>
      </c>
      <c r="J83" s="305">
        <f>132501</f>
        <v>132501</v>
      </c>
      <c r="K83" s="31">
        <f>0</f>
        <v>0</v>
      </c>
      <c r="L83" s="31">
        <f>0</f>
        <v>0</v>
      </c>
      <c r="M83" s="31">
        <f>0</f>
        <v>0</v>
      </c>
      <c r="N83" s="31">
        <f>0</f>
        <v>0</v>
      </c>
      <c r="O83" s="31">
        <f>0</f>
        <v>0</v>
      </c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6"/>
        <v>0</v>
      </c>
      <c r="Z83" s="32">
        <f>9071</f>
        <v>9071</v>
      </c>
      <c r="AA83" s="104" t="s">
        <v>177</v>
      </c>
      <c r="AB83" s="34">
        <v>44209</v>
      </c>
      <c r="AC83" s="89">
        <v>44243</v>
      </c>
      <c r="AD83" s="32"/>
      <c r="AE83" s="35"/>
      <c r="AF83" s="36"/>
      <c r="AG83" s="89"/>
      <c r="AH83" s="32"/>
      <c r="AI83" s="33"/>
      <c r="AJ83" s="36"/>
      <c r="AK83" s="89"/>
      <c r="AL83" s="32"/>
      <c r="AM83" s="33"/>
      <c r="AN83" s="36"/>
      <c r="AO83" s="89"/>
      <c r="AP83" s="32"/>
      <c r="AQ83" s="33"/>
      <c r="AR83" s="36"/>
      <c r="AS83" s="89"/>
      <c r="AT83" s="270">
        <f t="shared" si="7"/>
        <v>9071</v>
      </c>
      <c r="AU83" s="38">
        <f t="shared" si="8"/>
        <v>9071</v>
      </c>
    </row>
    <row r="84" spans="2:47" s="26" customFormat="1" ht="22.5" x14ac:dyDescent="0.25">
      <c r="B84" s="276">
        <v>69</v>
      </c>
      <c r="C84" s="276" t="s">
        <v>39</v>
      </c>
      <c r="D84" s="28" t="s">
        <v>180</v>
      </c>
      <c r="E84" s="304" t="s">
        <v>179</v>
      </c>
      <c r="F84" s="304" t="s">
        <v>147</v>
      </c>
      <c r="G84" s="30" t="s">
        <v>146</v>
      </c>
      <c r="H84" s="42" t="s">
        <v>178</v>
      </c>
      <c r="I84" s="274" t="s">
        <v>57</v>
      </c>
      <c r="J84" s="305">
        <f>714135</f>
        <v>714135</v>
      </c>
      <c r="K84" s="31">
        <f>690353</f>
        <v>690353</v>
      </c>
      <c r="L84" s="31">
        <f>0</f>
        <v>0</v>
      </c>
      <c r="M84" s="31">
        <f>0</f>
        <v>0</v>
      </c>
      <c r="N84" s="31">
        <f>0</f>
        <v>0</v>
      </c>
      <c r="O84" s="31">
        <f>0</f>
        <v>0</v>
      </c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6"/>
        <v>0</v>
      </c>
      <c r="Z84" s="32">
        <f>16242+7534</f>
        <v>23776</v>
      </c>
      <c r="AA84" s="104" t="s">
        <v>177</v>
      </c>
      <c r="AB84" s="34">
        <v>44209</v>
      </c>
      <c r="AC84" s="89">
        <v>44243</v>
      </c>
      <c r="AD84" s="32"/>
      <c r="AE84" s="35"/>
      <c r="AF84" s="36"/>
      <c r="AG84" s="89"/>
      <c r="AH84" s="32"/>
      <c r="AI84" s="33"/>
      <c r="AJ84" s="36"/>
      <c r="AK84" s="89"/>
      <c r="AL84" s="32"/>
      <c r="AM84" s="33"/>
      <c r="AN84" s="36"/>
      <c r="AO84" s="89"/>
      <c r="AP84" s="32"/>
      <c r="AQ84" s="33"/>
      <c r="AR84" s="36"/>
      <c r="AS84" s="89"/>
      <c r="AT84" s="270">
        <f t="shared" si="7"/>
        <v>23776</v>
      </c>
      <c r="AU84" s="38">
        <f t="shared" si="8"/>
        <v>23776</v>
      </c>
    </row>
    <row r="85" spans="2:47" s="26" customFormat="1" ht="22.5" customHeight="1" x14ac:dyDescent="0.25">
      <c r="B85" s="276">
        <v>70</v>
      </c>
      <c r="C85" s="276" t="s">
        <v>39</v>
      </c>
      <c r="D85" s="28" t="s">
        <v>176</v>
      </c>
      <c r="E85" s="304" t="s">
        <v>175</v>
      </c>
      <c r="F85" s="304" t="s">
        <v>147</v>
      </c>
      <c r="G85" s="30" t="s">
        <v>146</v>
      </c>
      <c r="H85" s="42" t="s">
        <v>174</v>
      </c>
      <c r="I85" s="274" t="s">
        <v>57</v>
      </c>
      <c r="J85" s="305">
        <v>1059676</v>
      </c>
      <c r="K85" s="31">
        <f>870941</f>
        <v>870941</v>
      </c>
      <c r="L85" s="31">
        <f>1</f>
        <v>1</v>
      </c>
      <c r="M85" s="31"/>
      <c r="N85" s="31">
        <f>188732</f>
        <v>188732</v>
      </c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>
        <f t="shared" si="6"/>
        <v>188732</v>
      </c>
      <c r="Z85" s="32">
        <f>188733</f>
        <v>188733</v>
      </c>
      <c r="AA85" s="104" t="s">
        <v>173</v>
      </c>
      <c r="AB85" s="41">
        <v>44246</v>
      </c>
      <c r="AC85" s="89">
        <v>44253</v>
      </c>
      <c r="AD85" s="32"/>
      <c r="AE85" s="35"/>
      <c r="AF85" s="36"/>
      <c r="AG85" s="89"/>
      <c r="AH85" s="32"/>
      <c r="AI85" s="33"/>
      <c r="AJ85" s="36"/>
      <c r="AK85" s="89"/>
      <c r="AL85" s="32"/>
      <c r="AM85" s="33"/>
      <c r="AN85" s="36"/>
      <c r="AO85" s="89"/>
      <c r="AP85" s="32"/>
      <c r="AQ85" s="33"/>
      <c r="AR85" s="36"/>
      <c r="AS85" s="89"/>
      <c r="AT85" s="270">
        <f t="shared" si="7"/>
        <v>188733</v>
      </c>
      <c r="AU85" s="38">
        <f t="shared" si="8"/>
        <v>1</v>
      </c>
    </row>
    <row r="86" spans="2:47" s="26" customFormat="1" ht="22.5" x14ac:dyDescent="0.25">
      <c r="B86" s="276">
        <v>71</v>
      </c>
      <c r="C86" s="276" t="s">
        <v>42</v>
      </c>
      <c r="D86" s="28" t="s">
        <v>172</v>
      </c>
      <c r="E86" s="304" t="s">
        <v>171</v>
      </c>
      <c r="F86" s="304" t="s">
        <v>147</v>
      </c>
      <c r="G86" s="30" t="s">
        <v>146</v>
      </c>
      <c r="H86" s="42" t="s">
        <v>170</v>
      </c>
      <c r="I86" s="274" t="s">
        <v>72</v>
      </c>
      <c r="J86" s="305">
        <v>314725</v>
      </c>
      <c r="K86" s="31">
        <f>0</f>
        <v>0</v>
      </c>
      <c r="L86" s="31">
        <f>222385</f>
        <v>222385</v>
      </c>
      <c r="M86" s="31"/>
      <c r="N86" s="31"/>
      <c r="O86" s="31">
        <f>0</f>
        <v>0</v>
      </c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si="6"/>
        <v>0</v>
      </c>
      <c r="Z86" s="32">
        <f>92340</f>
        <v>92340</v>
      </c>
      <c r="AA86" s="104" t="s">
        <v>144</v>
      </c>
      <c r="AB86" s="41">
        <v>44253</v>
      </c>
      <c r="AC86" s="89">
        <v>44281</v>
      </c>
      <c r="AD86" s="32"/>
      <c r="AE86" s="35"/>
      <c r="AF86" s="36"/>
      <c r="AG86" s="89"/>
      <c r="AH86" s="32"/>
      <c r="AI86" s="33"/>
      <c r="AJ86" s="36"/>
      <c r="AK86" s="89"/>
      <c r="AL86" s="32"/>
      <c r="AM86" s="33"/>
      <c r="AN86" s="36"/>
      <c r="AO86" s="89"/>
      <c r="AP86" s="32"/>
      <c r="AQ86" s="33"/>
      <c r="AR86" s="36"/>
      <c r="AS86" s="89"/>
      <c r="AT86" s="270">
        <f t="shared" si="7"/>
        <v>92340</v>
      </c>
      <c r="AU86" s="38">
        <f t="shared" si="8"/>
        <v>92340</v>
      </c>
    </row>
    <row r="87" spans="2:47" s="26" customFormat="1" ht="22.5" x14ac:dyDescent="0.25">
      <c r="B87" s="276">
        <v>72</v>
      </c>
      <c r="C87" s="276" t="s">
        <v>39</v>
      </c>
      <c r="D87" s="28" t="s">
        <v>169</v>
      </c>
      <c r="E87" s="304" t="s">
        <v>168</v>
      </c>
      <c r="F87" s="304" t="s">
        <v>167</v>
      </c>
      <c r="G87" s="30" t="s">
        <v>146</v>
      </c>
      <c r="H87" s="42" t="s">
        <v>166</v>
      </c>
      <c r="I87" s="274" t="s">
        <v>57</v>
      </c>
      <c r="J87" s="305">
        <f>533425</f>
        <v>533425</v>
      </c>
      <c r="K87" s="31">
        <f>186490</f>
        <v>186490</v>
      </c>
      <c r="L87" s="31">
        <f>0</f>
        <v>0</v>
      </c>
      <c r="M87" s="31"/>
      <c r="N87" s="31">
        <f>0</f>
        <v>0</v>
      </c>
      <c r="O87" s="31">
        <f>0</f>
        <v>0</v>
      </c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6"/>
        <v>0</v>
      </c>
      <c r="Z87" s="32">
        <f>346930</f>
        <v>346930</v>
      </c>
      <c r="AA87" s="104" t="s">
        <v>144</v>
      </c>
      <c r="AB87" s="41">
        <v>44253</v>
      </c>
      <c r="AC87" s="89">
        <v>44281</v>
      </c>
      <c r="AD87" s="32"/>
      <c r="AE87" s="35"/>
      <c r="AF87" s="36"/>
      <c r="AG87" s="89"/>
      <c r="AH87" s="32"/>
      <c r="AI87" s="33"/>
      <c r="AJ87" s="36"/>
      <c r="AK87" s="89"/>
      <c r="AL87" s="32"/>
      <c r="AM87" s="33"/>
      <c r="AN87" s="36"/>
      <c r="AO87" s="89"/>
      <c r="AP87" s="32"/>
      <c r="AQ87" s="33"/>
      <c r="AR87" s="36"/>
      <c r="AS87" s="89"/>
      <c r="AT87" s="270">
        <f t="shared" si="7"/>
        <v>346930</v>
      </c>
      <c r="AU87" s="38">
        <f t="shared" si="8"/>
        <v>346930</v>
      </c>
    </row>
    <row r="88" spans="2:47" s="26" customFormat="1" ht="22.5" x14ac:dyDescent="0.25">
      <c r="B88" s="276">
        <v>73</v>
      </c>
      <c r="C88" s="276" t="s">
        <v>39</v>
      </c>
      <c r="D88" s="28" t="s">
        <v>165</v>
      </c>
      <c r="E88" s="304" t="s">
        <v>164</v>
      </c>
      <c r="F88" s="304" t="s">
        <v>147</v>
      </c>
      <c r="G88" s="30" t="s">
        <v>146</v>
      </c>
      <c r="H88" s="42" t="s">
        <v>161</v>
      </c>
      <c r="I88" s="274" t="s">
        <v>72</v>
      </c>
      <c r="J88" s="305">
        <f>1339361</f>
        <v>1339361</v>
      </c>
      <c r="K88" s="31">
        <f>0</f>
        <v>0</v>
      </c>
      <c r="L88" s="31">
        <f>737473</f>
        <v>737473</v>
      </c>
      <c r="M88" s="31"/>
      <c r="N88" s="31"/>
      <c r="O88" s="31">
        <f>0</f>
        <v>0</v>
      </c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6"/>
        <v>0</v>
      </c>
      <c r="Z88" s="32">
        <f>1846+20000+120000</f>
        <v>141846</v>
      </c>
      <c r="AA88" s="104" t="s">
        <v>144</v>
      </c>
      <c r="AB88" s="41">
        <v>44253</v>
      </c>
      <c r="AC88" s="89">
        <v>44281</v>
      </c>
      <c r="AD88" s="32"/>
      <c r="AE88" s="35"/>
      <c r="AF88" s="36"/>
      <c r="AG88" s="89"/>
      <c r="AH88" s="32"/>
      <c r="AI88" s="33"/>
      <c r="AJ88" s="36"/>
      <c r="AK88" s="89"/>
      <c r="AL88" s="32"/>
      <c r="AM88" s="33"/>
      <c r="AN88" s="36"/>
      <c r="AO88" s="89"/>
      <c r="AP88" s="32"/>
      <c r="AQ88" s="33"/>
      <c r="AR88" s="36"/>
      <c r="AS88" s="89"/>
      <c r="AT88" s="270">
        <f t="shared" si="7"/>
        <v>141846</v>
      </c>
      <c r="AU88" s="38">
        <f t="shared" si="8"/>
        <v>141846</v>
      </c>
    </row>
    <row r="89" spans="2:47" s="26" customFormat="1" ht="22.5" x14ac:dyDescent="0.25">
      <c r="B89" s="276">
        <v>74</v>
      </c>
      <c r="C89" s="276" t="s">
        <v>39</v>
      </c>
      <c r="D89" s="28" t="s">
        <v>163</v>
      </c>
      <c r="E89" s="304" t="s">
        <v>162</v>
      </c>
      <c r="F89" s="304" t="s">
        <v>147</v>
      </c>
      <c r="G89" s="30" t="s">
        <v>146</v>
      </c>
      <c r="H89" s="42" t="s">
        <v>161</v>
      </c>
      <c r="I89" s="274" t="s">
        <v>72</v>
      </c>
      <c r="J89" s="305">
        <f>628737</f>
        <v>628737</v>
      </c>
      <c r="K89" s="31">
        <f>0</f>
        <v>0</v>
      </c>
      <c r="L89" s="31">
        <f>334429</f>
        <v>334429</v>
      </c>
      <c r="M89" s="31"/>
      <c r="N89" s="31"/>
      <c r="O89" s="31">
        <f>0</f>
        <v>0</v>
      </c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6"/>
        <v>0</v>
      </c>
      <c r="Z89" s="32">
        <f>2257+12000+280000</f>
        <v>294257</v>
      </c>
      <c r="AA89" s="104" t="s">
        <v>144</v>
      </c>
      <c r="AB89" s="41">
        <v>44253</v>
      </c>
      <c r="AC89" s="89">
        <v>44281</v>
      </c>
      <c r="AD89" s="32"/>
      <c r="AE89" s="35"/>
      <c r="AF89" s="36"/>
      <c r="AG89" s="89"/>
      <c r="AH89" s="32"/>
      <c r="AI89" s="33"/>
      <c r="AJ89" s="36"/>
      <c r="AK89" s="89"/>
      <c r="AL89" s="32"/>
      <c r="AM89" s="33"/>
      <c r="AN89" s="36"/>
      <c r="AO89" s="89"/>
      <c r="AP89" s="32"/>
      <c r="AQ89" s="33"/>
      <c r="AR89" s="36"/>
      <c r="AS89" s="89"/>
      <c r="AT89" s="270">
        <f t="shared" si="7"/>
        <v>294257</v>
      </c>
      <c r="AU89" s="38">
        <f t="shared" si="8"/>
        <v>294257</v>
      </c>
    </row>
    <row r="90" spans="2:47" s="26" customFormat="1" x14ac:dyDescent="0.25">
      <c r="B90" s="276">
        <v>75</v>
      </c>
      <c r="C90" s="276" t="s">
        <v>39</v>
      </c>
      <c r="D90" s="28" t="s">
        <v>160</v>
      </c>
      <c r="E90" s="304" t="s">
        <v>159</v>
      </c>
      <c r="F90" s="304" t="s">
        <v>147</v>
      </c>
      <c r="G90" s="30" t="s">
        <v>146</v>
      </c>
      <c r="H90" s="42" t="s">
        <v>158</v>
      </c>
      <c r="I90" s="274" t="s">
        <v>57</v>
      </c>
      <c r="J90" s="305">
        <f>3008865</f>
        <v>3008865</v>
      </c>
      <c r="K90" s="31">
        <f>2790066</f>
        <v>2790066</v>
      </c>
      <c r="L90" s="31">
        <f>0</f>
        <v>0</v>
      </c>
      <c r="M90" s="31"/>
      <c r="N90" s="31"/>
      <c r="O90" s="31">
        <f>0</f>
        <v>0</v>
      </c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6"/>
        <v>0</v>
      </c>
      <c r="Z90" s="32">
        <f>17787+201011</f>
        <v>218798</v>
      </c>
      <c r="AA90" s="104" t="s">
        <v>144</v>
      </c>
      <c r="AB90" s="41">
        <v>44253</v>
      </c>
      <c r="AC90" s="89">
        <v>44281</v>
      </c>
      <c r="AD90" s="32"/>
      <c r="AE90" s="35"/>
      <c r="AF90" s="36"/>
      <c r="AG90" s="89"/>
      <c r="AH90" s="32"/>
      <c r="AI90" s="33"/>
      <c r="AJ90" s="36"/>
      <c r="AK90" s="89"/>
      <c r="AL90" s="32"/>
      <c r="AM90" s="33"/>
      <c r="AN90" s="36"/>
      <c r="AO90" s="89"/>
      <c r="AP90" s="32"/>
      <c r="AQ90" s="33"/>
      <c r="AR90" s="36"/>
      <c r="AS90" s="89"/>
      <c r="AT90" s="270">
        <f t="shared" si="7"/>
        <v>218798</v>
      </c>
      <c r="AU90" s="38">
        <f t="shared" si="8"/>
        <v>218798</v>
      </c>
    </row>
    <row r="91" spans="2:47" s="26" customFormat="1" ht="22.5" x14ac:dyDescent="0.25">
      <c r="B91" s="276">
        <v>76</v>
      </c>
      <c r="C91" s="276" t="s">
        <v>39</v>
      </c>
      <c r="D91" s="28" t="s">
        <v>157</v>
      </c>
      <c r="E91" s="304" t="s">
        <v>156</v>
      </c>
      <c r="F91" s="304" t="s">
        <v>151</v>
      </c>
      <c r="G91" s="30" t="s">
        <v>146</v>
      </c>
      <c r="H91" s="42" t="s">
        <v>150</v>
      </c>
      <c r="I91" s="274" t="s">
        <v>57</v>
      </c>
      <c r="J91" s="305">
        <f>67823</f>
        <v>67823</v>
      </c>
      <c r="K91" s="31">
        <f>47791</f>
        <v>47791</v>
      </c>
      <c r="L91" s="31">
        <f>0</f>
        <v>0</v>
      </c>
      <c r="M91" s="31"/>
      <c r="N91" s="31"/>
      <c r="O91" s="31">
        <f>0</f>
        <v>0</v>
      </c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6"/>
        <v>0</v>
      </c>
      <c r="Z91" s="32">
        <f>20031</f>
        <v>20031</v>
      </c>
      <c r="AA91" s="104" t="s">
        <v>144</v>
      </c>
      <c r="AB91" s="41">
        <v>44253</v>
      </c>
      <c r="AC91" s="89">
        <v>44281</v>
      </c>
      <c r="AD91" s="32"/>
      <c r="AE91" s="35"/>
      <c r="AF91" s="36"/>
      <c r="AG91" s="89"/>
      <c r="AH91" s="32"/>
      <c r="AI91" s="33"/>
      <c r="AJ91" s="36"/>
      <c r="AK91" s="89"/>
      <c r="AL91" s="32"/>
      <c r="AM91" s="33"/>
      <c r="AN91" s="36"/>
      <c r="AO91" s="89"/>
      <c r="AP91" s="32"/>
      <c r="AQ91" s="33"/>
      <c r="AR91" s="36"/>
      <c r="AS91" s="89"/>
      <c r="AT91" s="270">
        <f t="shared" si="7"/>
        <v>20031</v>
      </c>
      <c r="AU91" s="38">
        <f t="shared" si="8"/>
        <v>20031</v>
      </c>
    </row>
    <row r="92" spans="2:47" s="26" customFormat="1" ht="22.5" x14ac:dyDescent="0.25">
      <c r="B92" s="276">
        <v>77</v>
      </c>
      <c r="C92" s="276" t="s">
        <v>39</v>
      </c>
      <c r="D92" s="28" t="s">
        <v>155</v>
      </c>
      <c r="E92" s="304" t="s">
        <v>154</v>
      </c>
      <c r="F92" s="304" t="s">
        <v>151</v>
      </c>
      <c r="G92" s="30" t="s">
        <v>146</v>
      </c>
      <c r="H92" s="42" t="s">
        <v>150</v>
      </c>
      <c r="I92" s="274" t="s">
        <v>57</v>
      </c>
      <c r="J92" s="305">
        <f>69772</f>
        <v>69772</v>
      </c>
      <c r="K92" s="31">
        <f>48077</f>
        <v>48077</v>
      </c>
      <c r="L92" s="31">
        <f>0</f>
        <v>0</v>
      </c>
      <c r="M92" s="31"/>
      <c r="N92" s="31"/>
      <c r="O92" s="31">
        <f>0</f>
        <v>0</v>
      </c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6"/>
        <v>0</v>
      </c>
      <c r="Z92" s="32">
        <f>19751</f>
        <v>19751</v>
      </c>
      <c r="AA92" s="104" t="s">
        <v>144</v>
      </c>
      <c r="AB92" s="41">
        <v>44253</v>
      </c>
      <c r="AC92" s="89">
        <v>44281</v>
      </c>
      <c r="AD92" s="32"/>
      <c r="AE92" s="35"/>
      <c r="AF92" s="36"/>
      <c r="AG92" s="89"/>
      <c r="AH92" s="32"/>
      <c r="AI92" s="33"/>
      <c r="AJ92" s="36"/>
      <c r="AK92" s="89"/>
      <c r="AL92" s="32"/>
      <c r="AM92" s="33"/>
      <c r="AN92" s="36"/>
      <c r="AO92" s="89"/>
      <c r="AP92" s="32"/>
      <c r="AQ92" s="33"/>
      <c r="AR92" s="36"/>
      <c r="AS92" s="89"/>
      <c r="AT92" s="270">
        <f t="shared" si="7"/>
        <v>19751</v>
      </c>
      <c r="AU92" s="38">
        <f t="shared" si="8"/>
        <v>19751</v>
      </c>
    </row>
    <row r="93" spans="2:47" s="26" customFormat="1" ht="22.5" x14ac:dyDescent="0.25">
      <c r="B93" s="276">
        <v>78</v>
      </c>
      <c r="C93" s="276" t="s">
        <v>39</v>
      </c>
      <c r="D93" s="28" t="s">
        <v>153</v>
      </c>
      <c r="E93" s="304" t="s">
        <v>152</v>
      </c>
      <c r="F93" s="304" t="s">
        <v>151</v>
      </c>
      <c r="G93" s="30" t="s">
        <v>146</v>
      </c>
      <c r="H93" s="42" t="s">
        <v>150</v>
      </c>
      <c r="I93" s="274" t="s">
        <v>57</v>
      </c>
      <c r="J93" s="305">
        <f>69461</f>
        <v>69461</v>
      </c>
      <c r="K93" s="31">
        <f>47576</f>
        <v>47576</v>
      </c>
      <c r="L93" s="31">
        <f>0</f>
        <v>0</v>
      </c>
      <c r="M93" s="31"/>
      <c r="N93" s="31"/>
      <c r="O93" s="31">
        <f>0</f>
        <v>0</v>
      </c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6"/>
        <v>0</v>
      </c>
      <c r="Z93" s="32">
        <f>19941</f>
        <v>19941</v>
      </c>
      <c r="AA93" s="104" t="s">
        <v>144</v>
      </c>
      <c r="AB93" s="41">
        <v>44253</v>
      </c>
      <c r="AC93" s="89">
        <v>44281</v>
      </c>
      <c r="AD93" s="32"/>
      <c r="AE93" s="35"/>
      <c r="AF93" s="36"/>
      <c r="AG93" s="89"/>
      <c r="AH93" s="32"/>
      <c r="AI93" s="33"/>
      <c r="AJ93" s="36"/>
      <c r="AK93" s="89"/>
      <c r="AL93" s="32"/>
      <c r="AM93" s="33"/>
      <c r="AN93" s="36"/>
      <c r="AO93" s="89"/>
      <c r="AP93" s="32"/>
      <c r="AQ93" s="33"/>
      <c r="AR93" s="36"/>
      <c r="AS93" s="89"/>
      <c r="AT93" s="270">
        <f t="shared" si="7"/>
        <v>19941</v>
      </c>
      <c r="AU93" s="38">
        <f t="shared" si="8"/>
        <v>19941</v>
      </c>
    </row>
    <row r="94" spans="2:47" s="26" customFormat="1" ht="22.5" x14ac:dyDescent="0.25">
      <c r="B94" s="276">
        <v>79</v>
      </c>
      <c r="C94" s="276" t="s">
        <v>39</v>
      </c>
      <c r="D94" s="28" t="s">
        <v>149</v>
      </c>
      <c r="E94" s="304" t="s">
        <v>148</v>
      </c>
      <c r="F94" s="304" t="s">
        <v>147</v>
      </c>
      <c r="G94" s="30" t="s">
        <v>146</v>
      </c>
      <c r="H94" s="42" t="s">
        <v>145</v>
      </c>
      <c r="I94" s="274" t="s">
        <v>57</v>
      </c>
      <c r="J94" s="305">
        <f>201561</f>
        <v>201561</v>
      </c>
      <c r="K94" s="31">
        <f>0</f>
        <v>0</v>
      </c>
      <c r="L94" s="31">
        <f>0</f>
        <v>0</v>
      </c>
      <c r="M94" s="31"/>
      <c r="N94" s="31"/>
      <c r="O94" s="31">
        <f>0</f>
        <v>0</v>
      </c>
      <c r="P94" s="31"/>
      <c r="Q94" s="31"/>
      <c r="R94" s="31"/>
      <c r="S94" s="31"/>
      <c r="T94" s="31"/>
      <c r="U94" s="31"/>
      <c r="V94" s="31"/>
      <c r="W94" s="31"/>
      <c r="X94" s="31"/>
      <c r="Y94" s="31">
        <f t="shared" si="6"/>
        <v>0</v>
      </c>
      <c r="Z94" s="32">
        <f>197126</f>
        <v>197126</v>
      </c>
      <c r="AA94" s="104" t="s">
        <v>144</v>
      </c>
      <c r="AB94" s="41">
        <v>44253</v>
      </c>
      <c r="AC94" s="89">
        <v>44281</v>
      </c>
      <c r="AD94" s="32"/>
      <c r="AE94" s="35"/>
      <c r="AF94" s="36"/>
      <c r="AG94" s="89"/>
      <c r="AH94" s="32"/>
      <c r="AI94" s="33"/>
      <c r="AJ94" s="36"/>
      <c r="AK94" s="89"/>
      <c r="AL94" s="32"/>
      <c r="AM94" s="33"/>
      <c r="AN94" s="36"/>
      <c r="AO94" s="89"/>
      <c r="AP94" s="32"/>
      <c r="AQ94" s="33"/>
      <c r="AR94" s="36"/>
      <c r="AS94" s="89"/>
      <c r="AT94" s="270">
        <f t="shared" si="7"/>
        <v>197126</v>
      </c>
      <c r="AU94" s="38">
        <f t="shared" si="8"/>
        <v>197126</v>
      </c>
    </row>
    <row r="95" spans="2:47" s="26" customFormat="1" x14ac:dyDescent="0.25">
      <c r="B95" s="276">
        <v>80</v>
      </c>
      <c r="C95" s="276"/>
      <c r="D95" s="28"/>
      <c r="E95" s="304"/>
      <c r="F95" s="304"/>
      <c r="G95" s="30"/>
      <c r="H95" s="42"/>
      <c r="I95" s="274"/>
      <c r="J95" s="305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2"/>
      <c r="AA95" s="104"/>
      <c r="AB95" s="36"/>
      <c r="AC95" s="89"/>
      <c r="AD95" s="32"/>
      <c r="AE95" s="35"/>
      <c r="AF95" s="36"/>
      <c r="AG95" s="89"/>
      <c r="AH95" s="32"/>
      <c r="AI95" s="33"/>
      <c r="AJ95" s="36"/>
      <c r="AK95" s="89"/>
      <c r="AL95" s="32"/>
      <c r="AM95" s="33"/>
      <c r="AN95" s="36"/>
      <c r="AO95" s="89"/>
      <c r="AP95" s="32"/>
      <c r="AQ95" s="33"/>
      <c r="AR95" s="36"/>
      <c r="AS95" s="89"/>
      <c r="AT95" s="270"/>
      <c r="AU95" s="38">
        <f t="shared" si="8"/>
        <v>0</v>
      </c>
    </row>
    <row r="96" spans="2:47" s="26" customFormat="1" x14ac:dyDescent="0.25">
      <c r="B96" s="276">
        <v>81</v>
      </c>
      <c r="C96" s="276"/>
      <c r="D96" s="28"/>
      <c r="E96" s="304"/>
      <c r="F96" s="304"/>
      <c r="G96" s="30"/>
      <c r="H96" s="42"/>
      <c r="I96" s="274"/>
      <c r="J96" s="305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2"/>
      <c r="AA96" s="104"/>
      <c r="AB96" s="36"/>
      <c r="AC96" s="89"/>
      <c r="AD96" s="32"/>
      <c r="AE96" s="35"/>
      <c r="AF96" s="36"/>
      <c r="AG96" s="89"/>
      <c r="AH96" s="32"/>
      <c r="AI96" s="33"/>
      <c r="AJ96" s="36"/>
      <c r="AK96" s="89"/>
      <c r="AL96" s="32"/>
      <c r="AM96" s="33"/>
      <c r="AN96" s="36"/>
      <c r="AO96" s="89"/>
      <c r="AP96" s="32"/>
      <c r="AQ96" s="33"/>
      <c r="AR96" s="36"/>
      <c r="AS96" s="89"/>
      <c r="AT96" s="270"/>
      <c r="AU96" s="38">
        <f t="shared" si="8"/>
        <v>0</v>
      </c>
    </row>
    <row r="97" spans="2:47" s="26" customFormat="1" x14ac:dyDescent="0.25">
      <c r="B97" s="276">
        <v>82</v>
      </c>
      <c r="C97" s="276"/>
      <c r="D97" s="28"/>
      <c r="E97" s="304"/>
      <c r="F97" s="304"/>
      <c r="G97" s="30"/>
      <c r="H97" s="42"/>
      <c r="I97" s="274"/>
      <c r="J97" s="305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2"/>
      <c r="AA97" s="104"/>
      <c r="AB97" s="36"/>
      <c r="AC97" s="89"/>
      <c r="AD97" s="32"/>
      <c r="AE97" s="35"/>
      <c r="AF97" s="36"/>
      <c r="AG97" s="89"/>
      <c r="AH97" s="32"/>
      <c r="AI97" s="33"/>
      <c r="AJ97" s="36"/>
      <c r="AK97" s="89"/>
      <c r="AL97" s="32"/>
      <c r="AM97" s="33"/>
      <c r="AN97" s="36"/>
      <c r="AO97" s="89"/>
      <c r="AP97" s="32"/>
      <c r="AQ97" s="33"/>
      <c r="AR97" s="36"/>
      <c r="AS97" s="89"/>
      <c r="AT97" s="270"/>
      <c r="AU97" s="38">
        <f t="shared" si="8"/>
        <v>0</v>
      </c>
    </row>
    <row r="98" spans="2:47" s="26" customFormat="1" x14ac:dyDescent="0.25">
      <c r="B98" s="276">
        <v>83</v>
      </c>
      <c r="C98" s="276"/>
      <c r="D98" s="28"/>
      <c r="E98" s="304"/>
      <c r="F98" s="304"/>
      <c r="G98" s="30"/>
      <c r="H98" s="42"/>
      <c r="I98" s="274"/>
      <c r="J98" s="305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2"/>
      <c r="AA98" s="104"/>
      <c r="AB98" s="36"/>
      <c r="AC98" s="89"/>
      <c r="AD98" s="32"/>
      <c r="AE98" s="35"/>
      <c r="AF98" s="36"/>
      <c r="AG98" s="89"/>
      <c r="AH98" s="32"/>
      <c r="AI98" s="33"/>
      <c r="AJ98" s="36"/>
      <c r="AK98" s="89"/>
      <c r="AL98" s="32"/>
      <c r="AM98" s="33"/>
      <c r="AN98" s="36"/>
      <c r="AO98" s="89"/>
      <c r="AP98" s="32"/>
      <c r="AQ98" s="33"/>
      <c r="AR98" s="36"/>
      <c r="AS98" s="89"/>
      <c r="AT98" s="270"/>
      <c r="AU98" s="38">
        <f t="shared" si="8"/>
        <v>0</v>
      </c>
    </row>
    <row r="99" spans="2:47" s="26" customFormat="1" x14ac:dyDescent="0.25">
      <c r="B99" s="276">
        <v>84</v>
      </c>
      <c r="C99" s="276"/>
      <c r="D99" s="28"/>
      <c r="E99" s="304"/>
      <c r="F99" s="304"/>
      <c r="G99" s="30"/>
      <c r="H99" s="42"/>
      <c r="I99" s="274"/>
      <c r="J99" s="305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2"/>
      <c r="AA99" s="104"/>
      <c r="AB99" s="36"/>
      <c r="AC99" s="89"/>
      <c r="AD99" s="32"/>
      <c r="AE99" s="35"/>
      <c r="AF99" s="36"/>
      <c r="AG99" s="89"/>
      <c r="AH99" s="32"/>
      <c r="AI99" s="33"/>
      <c r="AJ99" s="36"/>
      <c r="AK99" s="89"/>
      <c r="AL99" s="32"/>
      <c r="AM99" s="33"/>
      <c r="AN99" s="36"/>
      <c r="AO99" s="89"/>
      <c r="AP99" s="32"/>
      <c r="AQ99" s="33"/>
      <c r="AR99" s="36"/>
      <c r="AS99" s="89"/>
      <c r="AT99" s="270"/>
      <c r="AU99" s="38">
        <f t="shared" si="8"/>
        <v>0</v>
      </c>
    </row>
    <row r="100" spans="2:47" s="26" customFormat="1" x14ac:dyDescent="0.25">
      <c r="B100" s="276">
        <v>85</v>
      </c>
      <c r="C100" s="276"/>
      <c r="D100" s="28"/>
      <c r="E100" s="304"/>
      <c r="F100" s="304"/>
      <c r="G100" s="30"/>
      <c r="H100" s="42"/>
      <c r="I100" s="274"/>
      <c r="J100" s="305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2"/>
      <c r="AA100" s="104"/>
      <c r="AB100" s="36"/>
      <c r="AC100" s="89"/>
      <c r="AD100" s="32"/>
      <c r="AE100" s="35"/>
      <c r="AF100" s="36"/>
      <c r="AG100" s="89"/>
      <c r="AH100" s="32"/>
      <c r="AI100" s="33"/>
      <c r="AJ100" s="36"/>
      <c r="AK100" s="89"/>
      <c r="AL100" s="32"/>
      <c r="AM100" s="33"/>
      <c r="AN100" s="36"/>
      <c r="AO100" s="89"/>
      <c r="AP100" s="32"/>
      <c r="AQ100" s="33"/>
      <c r="AR100" s="36"/>
      <c r="AS100" s="89"/>
      <c r="AT100" s="270"/>
      <c r="AU100" s="38">
        <f t="shared" si="8"/>
        <v>0</v>
      </c>
    </row>
    <row r="101" spans="2:47" s="26" customFormat="1" x14ac:dyDescent="0.25">
      <c r="B101" s="276">
        <v>86</v>
      </c>
      <c r="C101" s="276"/>
      <c r="D101" s="28"/>
      <c r="E101" s="304"/>
      <c r="F101" s="304"/>
      <c r="G101" s="30"/>
      <c r="H101" s="42"/>
      <c r="I101" s="274"/>
      <c r="J101" s="305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2"/>
      <c r="AA101" s="104"/>
      <c r="AB101" s="36"/>
      <c r="AC101" s="89"/>
      <c r="AD101" s="32"/>
      <c r="AE101" s="35"/>
      <c r="AF101" s="36"/>
      <c r="AG101" s="89"/>
      <c r="AH101" s="32"/>
      <c r="AI101" s="33"/>
      <c r="AJ101" s="36"/>
      <c r="AK101" s="89"/>
      <c r="AL101" s="32"/>
      <c r="AM101" s="33"/>
      <c r="AN101" s="36"/>
      <c r="AO101" s="89"/>
      <c r="AP101" s="32"/>
      <c r="AQ101" s="33"/>
      <c r="AR101" s="36"/>
      <c r="AS101" s="89"/>
      <c r="AT101" s="270"/>
      <c r="AU101" s="38">
        <f t="shared" si="8"/>
        <v>0</v>
      </c>
    </row>
    <row r="102" spans="2:47" s="26" customFormat="1" x14ac:dyDescent="0.25">
      <c r="B102" s="276">
        <v>87</v>
      </c>
      <c r="C102" s="276"/>
      <c r="D102" s="28"/>
      <c r="E102" s="304"/>
      <c r="F102" s="304"/>
      <c r="G102" s="30"/>
      <c r="H102" s="42"/>
      <c r="I102" s="274"/>
      <c r="J102" s="305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2"/>
      <c r="AA102" s="104"/>
      <c r="AB102" s="36"/>
      <c r="AC102" s="89"/>
      <c r="AD102" s="32"/>
      <c r="AE102" s="35"/>
      <c r="AF102" s="36"/>
      <c r="AG102" s="89"/>
      <c r="AH102" s="32"/>
      <c r="AI102" s="33"/>
      <c r="AJ102" s="36"/>
      <c r="AK102" s="89"/>
      <c r="AL102" s="32"/>
      <c r="AM102" s="33"/>
      <c r="AN102" s="36"/>
      <c r="AO102" s="89"/>
      <c r="AP102" s="32"/>
      <c r="AQ102" s="33"/>
      <c r="AR102" s="36"/>
      <c r="AS102" s="89"/>
      <c r="AT102" s="270"/>
      <c r="AU102" s="38">
        <f t="shared" si="8"/>
        <v>0</v>
      </c>
    </row>
    <row r="103" spans="2:47" s="26" customFormat="1" x14ac:dyDescent="0.25">
      <c r="B103" s="276">
        <v>88</v>
      </c>
      <c r="C103" s="276"/>
      <c r="D103" s="28"/>
      <c r="E103" s="304"/>
      <c r="F103" s="304"/>
      <c r="G103" s="30"/>
      <c r="H103" s="42"/>
      <c r="I103" s="274"/>
      <c r="J103" s="305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2"/>
      <c r="AA103" s="104"/>
      <c r="AB103" s="36"/>
      <c r="AC103" s="89"/>
      <c r="AD103" s="32"/>
      <c r="AE103" s="35"/>
      <c r="AF103" s="36"/>
      <c r="AG103" s="89"/>
      <c r="AH103" s="32"/>
      <c r="AI103" s="33"/>
      <c r="AJ103" s="36"/>
      <c r="AK103" s="89"/>
      <c r="AL103" s="32"/>
      <c r="AM103" s="33"/>
      <c r="AN103" s="36"/>
      <c r="AO103" s="89"/>
      <c r="AP103" s="32"/>
      <c r="AQ103" s="33"/>
      <c r="AR103" s="36"/>
      <c r="AS103" s="89"/>
      <c r="AT103" s="270"/>
      <c r="AU103" s="38">
        <f t="shared" si="8"/>
        <v>0</v>
      </c>
    </row>
    <row r="104" spans="2:47" s="26" customFormat="1" x14ac:dyDescent="0.25">
      <c r="B104" s="276">
        <v>89</v>
      </c>
      <c r="C104" s="276"/>
      <c r="D104" s="28"/>
      <c r="E104" s="304"/>
      <c r="F104" s="304"/>
      <c r="G104" s="30"/>
      <c r="H104" s="42"/>
      <c r="I104" s="274"/>
      <c r="J104" s="305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2"/>
      <c r="AA104" s="104"/>
      <c r="AB104" s="36"/>
      <c r="AC104" s="89"/>
      <c r="AD104" s="32"/>
      <c r="AE104" s="35"/>
      <c r="AF104" s="36"/>
      <c r="AG104" s="89"/>
      <c r="AH104" s="32"/>
      <c r="AI104" s="33"/>
      <c r="AJ104" s="36"/>
      <c r="AK104" s="89"/>
      <c r="AL104" s="32"/>
      <c r="AM104" s="33"/>
      <c r="AN104" s="36"/>
      <c r="AO104" s="89"/>
      <c r="AP104" s="32"/>
      <c r="AQ104" s="33"/>
      <c r="AR104" s="36"/>
      <c r="AS104" s="89"/>
      <c r="AT104" s="270"/>
      <c r="AU104" s="38">
        <f t="shared" si="8"/>
        <v>0</v>
      </c>
    </row>
    <row r="105" spans="2:47" s="26" customFormat="1" x14ac:dyDescent="0.25">
      <c r="B105" s="276">
        <v>90</v>
      </c>
      <c r="C105" s="276"/>
      <c r="D105" s="28"/>
      <c r="E105" s="304"/>
      <c r="F105" s="304"/>
      <c r="G105" s="30"/>
      <c r="H105" s="42"/>
      <c r="I105" s="274"/>
      <c r="J105" s="305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2"/>
      <c r="AA105" s="104"/>
      <c r="AB105" s="36"/>
      <c r="AC105" s="89"/>
      <c r="AD105" s="32"/>
      <c r="AE105" s="35"/>
      <c r="AF105" s="36"/>
      <c r="AG105" s="89"/>
      <c r="AH105" s="32"/>
      <c r="AI105" s="33"/>
      <c r="AJ105" s="36"/>
      <c r="AK105" s="89"/>
      <c r="AL105" s="32"/>
      <c r="AM105" s="33"/>
      <c r="AN105" s="36"/>
      <c r="AO105" s="89"/>
      <c r="AP105" s="32"/>
      <c r="AQ105" s="33"/>
      <c r="AR105" s="36"/>
      <c r="AS105" s="89"/>
      <c r="AT105" s="270"/>
      <c r="AU105" s="38">
        <f t="shared" si="8"/>
        <v>0</v>
      </c>
    </row>
    <row r="106" spans="2:47" s="26" customFormat="1" x14ac:dyDescent="0.25">
      <c r="B106" s="276">
        <v>91</v>
      </c>
      <c r="C106" s="276"/>
      <c r="D106" s="28"/>
      <c r="E106" s="304"/>
      <c r="F106" s="304"/>
      <c r="G106" s="30"/>
      <c r="H106" s="42"/>
      <c r="I106" s="274"/>
      <c r="J106" s="305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2"/>
      <c r="AA106" s="104"/>
      <c r="AB106" s="36"/>
      <c r="AC106" s="89"/>
      <c r="AD106" s="32"/>
      <c r="AE106" s="35"/>
      <c r="AF106" s="36"/>
      <c r="AG106" s="89"/>
      <c r="AH106" s="32"/>
      <c r="AI106" s="33"/>
      <c r="AJ106" s="36"/>
      <c r="AK106" s="89"/>
      <c r="AL106" s="32"/>
      <c r="AM106" s="33"/>
      <c r="AN106" s="36"/>
      <c r="AO106" s="89"/>
      <c r="AP106" s="32"/>
      <c r="AQ106" s="33"/>
      <c r="AR106" s="36"/>
      <c r="AS106" s="89"/>
      <c r="AT106" s="270"/>
      <c r="AU106" s="38">
        <f t="shared" si="8"/>
        <v>0</v>
      </c>
    </row>
    <row r="107" spans="2:47" s="26" customFormat="1" x14ac:dyDescent="0.25">
      <c r="B107" s="276">
        <v>92</v>
      </c>
      <c r="C107" s="276"/>
      <c r="D107" s="28"/>
      <c r="E107" s="304"/>
      <c r="F107" s="304"/>
      <c r="G107" s="30"/>
      <c r="H107" s="42"/>
      <c r="I107" s="274"/>
      <c r="J107" s="305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2"/>
      <c r="AA107" s="104"/>
      <c r="AB107" s="36"/>
      <c r="AC107" s="89"/>
      <c r="AD107" s="32"/>
      <c r="AE107" s="35"/>
      <c r="AF107" s="36"/>
      <c r="AG107" s="89"/>
      <c r="AH107" s="32"/>
      <c r="AI107" s="33"/>
      <c r="AJ107" s="36"/>
      <c r="AK107" s="89"/>
      <c r="AL107" s="32"/>
      <c r="AM107" s="33"/>
      <c r="AN107" s="36"/>
      <c r="AO107" s="89"/>
      <c r="AP107" s="32"/>
      <c r="AQ107" s="33"/>
      <c r="AR107" s="36"/>
      <c r="AS107" s="89"/>
      <c r="AT107" s="270"/>
      <c r="AU107" s="38">
        <f t="shared" si="8"/>
        <v>0</v>
      </c>
    </row>
    <row r="108" spans="2:47" s="26" customFormat="1" x14ac:dyDescent="0.25">
      <c r="B108" s="276">
        <v>93</v>
      </c>
      <c r="C108" s="276"/>
      <c r="D108" s="28"/>
      <c r="E108" s="304"/>
      <c r="F108" s="304"/>
      <c r="G108" s="30"/>
      <c r="H108" s="42"/>
      <c r="I108" s="274"/>
      <c r="J108" s="305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2"/>
      <c r="AA108" s="104"/>
      <c r="AB108" s="36"/>
      <c r="AC108" s="89"/>
      <c r="AD108" s="32"/>
      <c r="AE108" s="35"/>
      <c r="AF108" s="36"/>
      <c r="AG108" s="89"/>
      <c r="AH108" s="32"/>
      <c r="AI108" s="33"/>
      <c r="AJ108" s="36"/>
      <c r="AK108" s="89"/>
      <c r="AL108" s="32"/>
      <c r="AM108" s="33"/>
      <c r="AN108" s="36"/>
      <c r="AO108" s="89"/>
      <c r="AP108" s="32"/>
      <c r="AQ108" s="33"/>
      <c r="AR108" s="36"/>
      <c r="AS108" s="89"/>
      <c r="AT108" s="270"/>
      <c r="AU108" s="38">
        <f t="shared" si="8"/>
        <v>0</v>
      </c>
    </row>
    <row r="109" spans="2:47" s="26" customFormat="1" x14ac:dyDescent="0.25">
      <c r="B109" s="276">
        <v>94</v>
      </c>
      <c r="C109" s="276"/>
      <c r="D109" s="28"/>
      <c r="E109" s="304"/>
      <c r="F109" s="304"/>
      <c r="G109" s="30"/>
      <c r="H109" s="42"/>
      <c r="I109" s="274"/>
      <c r="J109" s="305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2"/>
      <c r="AA109" s="104"/>
      <c r="AB109" s="36"/>
      <c r="AC109" s="89"/>
      <c r="AD109" s="32"/>
      <c r="AE109" s="35"/>
      <c r="AF109" s="36"/>
      <c r="AG109" s="89"/>
      <c r="AH109" s="32"/>
      <c r="AI109" s="33"/>
      <c r="AJ109" s="36"/>
      <c r="AK109" s="89"/>
      <c r="AL109" s="32"/>
      <c r="AM109" s="33"/>
      <c r="AN109" s="36"/>
      <c r="AO109" s="89"/>
      <c r="AP109" s="32"/>
      <c r="AQ109" s="33"/>
      <c r="AR109" s="36"/>
      <c r="AS109" s="89"/>
      <c r="AT109" s="270"/>
      <c r="AU109" s="38">
        <f t="shared" si="8"/>
        <v>0</v>
      </c>
    </row>
    <row r="110" spans="2:47" s="26" customFormat="1" x14ac:dyDescent="0.25">
      <c r="B110" s="276">
        <v>95</v>
      </c>
      <c r="C110" s="276"/>
      <c r="D110" s="28"/>
      <c r="E110" s="304"/>
      <c r="F110" s="304"/>
      <c r="G110" s="30"/>
      <c r="H110" s="42"/>
      <c r="I110" s="274"/>
      <c r="J110" s="305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2"/>
      <c r="AA110" s="104"/>
      <c r="AB110" s="36"/>
      <c r="AC110" s="89"/>
      <c r="AD110" s="32"/>
      <c r="AE110" s="35"/>
      <c r="AF110" s="36"/>
      <c r="AG110" s="89"/>
      <c r="AH110" s="32"/>
      <c r="AI110" s="33"/>
      <c r="AJ110" s="36"/>
      <c r="AK110" s="89"/>
      <c r="AL110" s="32"/>
      <c r="AM110" s="33"/>
      <c r="AN110" s="36"/>
      <c r="AO110" s="89"/>
      <c r="AP110" s="32"/>
      <c r="AQ110" s="33"/>
      <c r="AR110" s="36"/>
      <c r="AS110" s="89"/>
      <c r="AT110" s="270"/>
      <c r="AU110" s="38">
        <f t="shared" si="8"/>
        <v>0</v>
      </c>
    </row>
    <row r="111" spans="2:47" s="26" customFormat="1" x14ac:dyDescent="0.25">
      <c r="B111" s="276">
        <v>96</v>
      </c>
      <c r="C111" s="276"/>
      <c r="D111" s="28"/>
      <c r="E111" s="304"/>
      <c r="F111" s="304"/>
      <c r="G111" s="30"/>
      <c r="H111" s="42"/>
      <c r="I111" s="274"/>
      <c r="J111" s="305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2"/>
      <c r="AA111" s="104"/>
      <c r="AB111" s="36"/>
      <c r="AC111" s="89"/>
      <c r="AD111" s="32"/>
      <c r="AE111" s="35"/>
      <c r="AF111" s="36"/>
      <c r="AG111" s="89"/>
      <c r="AH111" s="32"/>
      <c r="AI111" s="33"/>
      <c r="AJ111" s="36"/>
      <c r="AK111" s="89"/>
      <c r="AL111" s="32"/>
      <c r="AM111" s="33"/>
      <c r="AN111" s="36"/>
      <c r="AO111" s="89"/>
      <c r="AP111" s="32"/>
      <c r="AQ111" s="33"/>
      <c r="AR111" s="36"/>
      <c r="AS111" s="89"/>
      <c r="AT111" s="270"/>
      <c r="AU111" s="38">
        <f t="shared" si="8"/>
        <v>0</v>
      </c>
    </row>
    <row r="112" spans="2:47" s="26" customFormat="1" x14ac:dyDescent="0.25">
      <c r="B112" s="276">
        <v>97</v>
      </c>
      <c r="C112" s="276"/>
      <c r="D112" s="28"/>
      <c r="E112" s="304"/>
      <c r="F112" s="304"/>
      <c r="G112" s="30"/>
      <c r="H112" s="42"/>
      <c r="I112" s="274"/>
      <c r="J112" s="305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2"/>
      <c r="AA112" s="104"/>
      <c r="AB112" s="36"/>
      <c r="AC112" s="89"/>
      <c r="AD112" s="32"/>
      <c r="AE112" s="35"/>
      <c r="AF112" s="36"/>
      <c r="AG112" s="89"/>
      <c r="AH112" s="32"/>
      <c r="AI112" s="33"/>
      <c r="AJ112" s="36"/>
      <c r="AK112" s="89"/>
      <c r="AL112" s="32"/>
      <c r="AM112" s="33"/>
      <c r="AN112" s="36"/>
      <c r="AO112" s="89"/>
      <c r="AP112" s="32"/>
      <c r="AQ112" s="33"/>
      <c r="AR112" s="36"/>
      <c r="AS112" s="89"/>
      <c r="AT112" s="270"/>
      <c r="AU112" s="38"/>
    </row>
    <row r="113" spans="2:47" s="26" customFormat="1" x14ac:dyDescent="0.25">
      <c r="B113" s="276">
        <v>98</v>
      </c>
      <c r="C113" s="276"/>
      <c r="D113" s="28"/>
      <c r="E113" s="304"/>
      <c r="F113" s="304"/>
      <c r="G113" s="30"/>
      <c r="H113" s="42"/>
      <c r="I113" s="274"/>
      <c r="J113" s="305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2"/>
      <c r="AA113" s="104"/>
      <c r="AB113" s="36"/>
      <c r="AC113" s="89"/>
      <c r="AD113" s="32"/>
      <c r="AE113" s="35"/>
      <c r="AF113" s="36"/>
      <c r="AG113" s="89"/>
      <c r="AH113" s="32"/>
      <c r="AI113" s="33"/>
      <c r="AJ113" s="36"/>
      <c r="AK113" s="89"/>
      <c r="AL113" s="32"/>
      <c r="AM113" s="33"/>
      <c r="AN113" s="36"/>
      <c r="AO113" s="89"/>
      <c r="AP113" s="32"/>
      <c r="AQ113" s="33"/>
      <c r="AR113" s="36"/>
      <c r="AS113" s="89"/>
      <c r="AT113" s="270"/>
      <c r="AU113" s="38"/>
    </row>
    <row r="114" spans="2:47" s="26" customFormat="1" x14ac:dyDescent="0.25">
      <c r="B114" s="276">
        <v>99</v>
      </c>
      <c r="C114" s="276"/>
      <c r="D114" s="28"/>
      <c r="E114" s="304"/>
      <c r="F114" s="304"/>
      <c r="G114" s="30"/>
      <c r="H114" s="42"/>
      <c r="I114" s="274"/>
      <c r="J114" s="305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2"/>
      <c r="AA114" s="104"/>
      <c r="AB114" s="36"/>
      <c r="AC114" s="89"/>
      <c r="AD114" s="32"/>
      <c r="AE114" s="35"/>
      <c r="AF114" s="36"/>
      <c r="AG114" s="89"/>
      <c r="AH114" s="32"/>
      <c r="AI114" s="33"/>
      <c r="AJ114" s="36"/>
      <c r="AK114" s="89"/>
      <c r="AL114" s="32"/>
      <c r="AM114" s="33"/>
      <c r="AN114" s="36"/>
      <c r="AO114" s="89"/>
      <c r="AP114" s="32"/>
      <c r="AQ114" s="33"/>
      <c r="AR114" s="36"/>
      <c r="AS114" s="89"/>
      <c r="AT114" s="270"/>
      <c r="AU114" s="38"/>
    </row>
    <row r="115" spans="2:47" s="26" customFormat="1" x14ac:dyDescent="0.25">
      <c r="B115" s="27">
        <v>100</v>
      </c>
      <c r="C115" s="27"/>
      <c r="D115" s="28"/>
      <c r="E115" s="29"/>
      <c r="F115" s="29"/>
      <c r="G115" s="30"/>
      <c r="H115" s="42"/>
      <c r="I115" s="88"/>
      <c r="J115" s="105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2"/>
      <c r="AA115" s="104"/>
      <c r="AB115" s="36"/>
      <c r="AC115" s="89"/>
      <c r="AD115" s="32"/>
      <c r="AE115" s="35"/>
      <c r="AF115" s="36"/>
      <c r="AG115" s="89"/>
      <c r="AH115" s="32"/>
      <c r="AI115" s="33"/>
      <c r="AJ115" s="36"/>
      <c r="AK115" s="89"/>
      <c r="AL115" s="32"/>
      <c r="AM115" s="33"/>
      <c r="AN115" s="36"/>
      <c r="AO115" s="89"/>
      <c r="AP115" s="32"/>
      <c r="AQ115" s="33"/>
      <c r="AR115" s="36"/>
      <c r="AS115" s="89"/>
      <c r="AT115" s="37"/>
      <c r="AU115" s="38"/>
    </row>
    <row r="116" spans="2:47" s="26" customFormat="1" x14ac:dyDescent="0.25">
      <c r="B116" s="27"/>
      <c r="C116" s="27"/>
      <c r="D116" s="28"/>
      <c r="E116" s="29"/>
      <c r="F116" s="29"/>
      <c r="G116" s="30"/>
      <c r="H116" s="42"/>
      <c r="I116" s="88"/>
      <c r="J116" s="105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2"/>
      <c r="AA116" s="104"/>
      <c r="AB116" s="36"/>
      <c r="AC116" s="89"/>
      <c r="AD116" s="32"/>
      <c r="AE116" s="35"/>
      <c r="AF116" s="36"/>
      <c r="AG116" s="89"/>
      <c r="AH116" s="32"/>
      <c r="AI116" s="33"/>
      <c r="AJ116" s="36"/>
      <c r="AK116" s="89"/>
      <c r="AL116" s="32"/>
      <c r="AM116" s="33"/>
      <c r="AN116" s="36"/>
      <c r="AO116" s="89"/>
      <c r="AP116" s="32"/>
      <c r="AQ116" s="33"/>
      <c r="AR116" s="36"/>
      <c r="AS116" s="89"/>
      <c r="AT116" s="37"/>
      <c r="AU116" s="38"/>
    </row>
    <row r="117" spans="2:47" s="26" customFormat="1" x14ac:dyDescent="0.25">
      <c r="B117" s="27"/>
      <c r="C117" s="27"/>
      <c r="D117" s="28"/>
      <c r="E117" s="29"/>
      <c r="F117" s="29"/>
      <c r="G117" s="30"/>
      <c r="H117" s="42"/>
      <c r="I117" s="88"/>
      <c r="J117" s="105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2"/>
      <c r="AA117" s="104"/>
      <c r="AB117" s="36"/>
      <c r="AC117" s="89"/>
      <c r="AD117" s="32"/>
      <c r="AE117" s="35"/>
      <c r="AF117" s="36"/>
      <c r="AG117" s="89"/>
      <c r="AH117" s="32"/>
      <c r="AI117" s="33"/>
      <c r="AJ117" s="36"/>
      <c r="AK117" s="89"/>
      <c r="AL117" s="32"/>
      <c r="AM117" s="33"/>
      <c r="AN117" s="36"/>
      <c r="AO117" s="89"/>
      <c r="AP117" s="32"/>
      <c r="AQ117" s="33"/>
      <c r="AR117" s="36"/>
      <c r="AS117" s="89"/>
      <c r="AT117" s="37"/>
      <c r="AU117" s="38"/>
    </row>
    <row r="118" spans="2:47" s="26" customFormat="1" x14ac:dyDescent="0.25">
      <c r="B118" s="27"/>
      <c r="C118" s="27"/>
      <c r="D118" s="28"/>
      <c r="E118" s="29"/>
      <c r="F118" s="29"/>
      <c r="G118" s="30"/>
      <c r="H118" s="42"/>
      <c r="I118" s="88"/>
      <c r="J118" s="105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2"/>
      <c r="AA118" s="104"/>
      <c r="AB118" s="36"/>
      <c r="AC118" s="89"/>
      <c r="AD118" s="32"/>
      <c r="AE118" s="35"/>
      <c r="AF118" s="36"/>
      <c r="AG118" s="89"/>
      <c r="AH118" s="32"/>
      <c r="AI118" s="33"/>
      <c r="AJ118" s="36"/>
      <c r="AK118" s="89"/>
      <c r="AL118" s="32"/>
      <c r="AM118" s="33"/>
      <c r="AN118" s="36"/>
      <c r="AO118" s="89"/>
      <c r="AP118" s="32"/>
      <c r="AQ118" s="33"/>
      <c r="AR118" s="36"/>
      <c r="AS118" s="89"/>
      <c r="AT118" s="37"/>
      <c r="AU118" s="38"/>
    </row>
    <row r="119" spans="2:47" s="26" customFormat="1" x14ac:dyDescent="0.25">
      <c r="B119" s="27"/>
      <c r="C119" s="27"/>
      <c r="D119" s="28"/>
      <c r="E119" s="29"/>
      <c r="F119" s="29"/>
      <c r="G119" s="30"/>
      <c r="H119" s="42"/>
      <c r="I119" s="88"/>
      <c r="J119" s="105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2"/>
      <c r="AA119" s="104"/>
      <c r="AB119" s="36"/>
      <c r="AC119" s="89"/>
      <c r="AD119" s="32"/>
      <c r="AE119" s="35"/>
      <c r="AF119" s="36"/>
      <c r="AG119" s="89"/>
      <c r="AH119" s="32"/>
      <c r="AI119" s="33"/>
      <c r="AJ119" s="36"/>
      <c r="AK119" s="89"/>
      <c r="AL119" s="32"/>
      <c r="AM119" s="33"/>
      <c r="AN119" s="36"/>
      <c r="AO119" s="89"/>
      <c r="AP119" s="32"/>
      <c r="AQ119" s="33"/>
      <c r="AR119" s="36"/>
      <c r="AS119" s="89"/>
      <c r="AT119" s="37"/>
      <c r="AU119" s="38"/>
    </row>
    <row r="120" spans="2:47" s="26" customFormat="1" x14ac:dyDescent="0.25">
      <c r="B120" s="27"/>
      <c r="C120" s="27"/>
      <c r="D120" s="28"/>
      <c r="E120" s="29"/>
      <c r="F120" s="29"/>
      <c r="G120" s="30"/>
      <c r="H120" s="42"/>
      <c r="I120" s="88"/>
      <c r="J120" s="105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2"/>
      <c r="AA120" s="104"/>
      <c r="AB120" s="36"/>
      <c r="AC120" s="89"/>
      <c r="AD120" s="32"/>
      <c r="AE120" s="35"/>
      <c r="AF120" s="36"/>
      <c r="AG120" s="89"/>
      <c r="AH120" s="32"/>
      <c r="AI120" s="33"/>
      <c r="AJ120" s="36"/>
      <c r="AK120" s="89"/>
      <c r="AL120" s="32"/>
      <c r="AM120" s="33"/>
      <c r="AN120" s="36"/>
      <c r="AO120" s="89"/>
      <c r="AP120" s="32"/>
      <c r="AQ120" s="33"/>
      <c r="AR120" s="36"/>
      <c r="AS120" s="89"/>
      <c r="AT120" s="37"/>
      <c r="AU120" s="38"/>
    </row>
    <row r="121" spans="2:47" s="26" customFormat="1" x14ac:dyDescent="0.25">
      <c r="B121" s="27"/>
      <c r="C121" s="27"/>
      <c r="D121" s="28"/>
      <c r="E121" s="29"/>
      <c r="F121" s="29"/>
      <c r="G121" s="30"/>
      <c r="H121" s="42"/>
      <c r="I121" s="88"/>
      <c r="J121" s="105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2"/>
      <c r="AA121" s="104"/>
      <c r="AB121" s="36"/>
      <c r="AC121" s="89"/>
      <c r="AD121" s="32"/>
      <c r="AE121" s="35"/>
      <c r="AF121" s="36"/>
      <c r="AG121" s="89"/>
      <c r="AH121" s="32"/>
      <c r="AI121" s="33"/>
      <c r="AJ121" s="36"/>
      <c r="AK121" s="89"/>
      <c r="AL121" s="32"/>
      <c r="AM121" s="33"/>
      <c r="AN121" s="36"/>
      <c r="AO121" s="89"/>
      <c r="AP121" s="32"/>
      <c r="AQ121" s="33"/>
      <c r="AR121" s="36"/>
      <c r="AS121" s="89"/>
      <c r="AT121" s="37"/>
      <c r="AU121" s="38"/>
    </row>
    <row r="122" spans="2:47" s="26" customFormat="1" x14ac:dyDescent="0.25">
      <c r="B122" s="27"/>
      <c r="C122" s="27"/>
      <c r="D122" s="28"/>
      <c r="E122" s="29"/>
      <c r="F122" s="29"/>
      <c r="G122" s="30"/>
      <c r="H122" s="42"/>
      <c r="I122" s="88"/>
      <c r="J122" s="105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2"/>
      <c r="AA122" s="104"/>
      <c r="AB122" s="36"/>
      <c r="AC122" s="89"/>
      <c r="AD122" s="32"/>
      <c r="AE122" s="35"/>
      <c r="AF122" s="36"/>
      <c r="AG122" s="89"/>
      <c r="AH122" s="32"/>
      <c r="AI122" s="33"/>
      <c r="AJ122" s="36"/>
      <c r="AK122" s="89"/>
      <c r="AL122" s="32"/>
      <c r="AM122" s="33"/>
      <c r="AN122" s="36"/>
      <c r="AO122" s="89"/>
      <c r="AP122" s="32"/>
      <c r="AQ122" s="33"/>
      <c r="AR122" s="36"/>
      <c r="AS122" s="89"/>
      <c r="AT122" s="37"/>
      <c r="AU122" s="38"/>
    </row>
    <row r="123" spans="2:47" s="26" customFormat="1" x14ac:dyDescent="0.25">
      <c r="B123" s="27"/>
      <c r="C123" s="27"/>
      <c r="D123" s="28"/>
      <c r="E123" s="29"/>
      <c r="F123" s="29"/>
      <c r="G123" s="30"/>
      <c r="H123" s="42"/>
      <c r="I123" s="43"/>
      <c r="J123" s="105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>
        <f>SUM(M123:X123)</f>
        <v>0</v>
      </c>
      <c r="Z123" s="32"/>
      <c r="AA123" s="104"/>
      <c r="AB123" s="36"/>
      <c r="AC123" s="89"/>
      <c r="AD123" s="32"/>
      <c r="AE123" s="35"/>
      <c r="AF123" s="36"/>
      <c r="AG123" s="89"/>
      <c r="AH123" s="32"/>
      <c r="AI123" s="33"/>
      <c r="AJ123" s="36"/>
      <c r="AK123" s="89"/>
      <c r="AL123" s="32"/>
      <c r="AM123" s="33"/>
      <c r="AN123" s="36"/>
      <c r="AO123" s="89"/>
      <c r="AP123" s="32"/>
      <c r="AQ123" s="33"/>
      <c r="AR123" s="36"/>
      <c r="AS123" s="89"/>
      <c r="AT123" s="37">
        <f>+Z123+AD123+AH123+AL123+AP123</f>
        <v>0</v>
      </c>
      <c r="AU123" s="38">
        <f>+AT123-Y123</f>
        <v>0</v>
      </c>
    </row>
    <row r="124" spans="2:47" ht="15" customHeight="1" x14ac:dyDescent="0.25">
      <c r="B124" s="534" t="s">
        <v>40</v>
      </c>
      <c r="C124" s="535"/>
      <c r="D124" s="535"/>
      <c r="E124" s="535"/>
      <c r="F124" s="535"/>
      <c r="G124" s="535"/>
      <c r="H124" s="535"/>
      <c r="I124" s="536"/>
      <c r="J124" s="103"/>
      <c r="K124" s="48">
        <f>SUBTOTAL(9,K16:K41)</f>
        <v>51328413</v>
      </c>
      <c r="L124" s="48">
        <f>SUBTOTAL(9,L16:L41)</f>
        <v>4075633</v>
      </c>
      <c r="M124" s="48">
        <f>SUBTOTAL(9,M16:M41)</f>
        <v>0</v>
      </c>
      <c r="N124" s="48">
        <f>SUBTOTAL(9,N16:N84)</f>
        <v>8980111</v>
      </c>
      <c r="O124" s="48">
        <f>SUBTOTAL(9,O16:O84)</f>
        <v>2817710</v>
      </c>
      <c r="P124" s="48">
        <f t="shared" ref="P124:X124" si="9">SUBTOTAL(9,P16:P41)</f>
        <v>0</v>
      </c>
      <c r="Q124" s="48">
        <f t="shared" si="9"/>
        <v>0</v>
      </c>
      <c r="R124" s="48">
        <f t="shared" si="9"/>
        <v>0</v>
      </c>
      <c r="S124" s="48">
        <f t="shared" si="9"/>
        <v>0</v>
      </c>
      <c r="T124" s="48">
        <f t="shared" si="9"/>
        <v>0</v>
      </c>
      <c r="U124" s="48">
        <f t="shared" si="9"/>
        <v>0</v>
      </c>
      <c r="V124" s="48">
        <f t="shared" si="9"/>
        <v>0</v>
      </c>
      <c r="W124" s="48">
        <f t="shared" si="9"/>
        <v>0</v>
      </c>
      <c r="X124" s="48">
        <f t="shared" si="9"/>
        <v>0</v>
      </c>
      <c r="Y124" s="48">
        <f>SUBTOTAL(9,Y16:Y121)</f>
        <v>11986553</v>
      </c>
      <c r="Z124" s="48">
        <f t="shared" ref="Z124:AP124" si="10">SUBTOTAL(9,Z16:Z120)</f>
        <v>32522083</v>
      </c>
      <c r="AA124" s="48">
        <f t="shared" si="10"/>
        <v>0</v>
      </c>
      <c r="AB124" s="48"/>
      <c r="AC124" s="48"/>
      <c r="AD124" s="48">
        <f t="shared" si="10"/>
        <v>19601</v>
      </c>
      <c r="AE124" s="48"/>
      <c r="AF124" s="48"/>
      <c r="AG124" s="48"/>
      <c r="AH124" s="48">
        <f t="shared" si="10"/>
        <v>0</v>
      </c>
      <c r="AI124" s="48"/>
      <c r="AJ124" s="48"/>
      <c r="AK124" s="48"/>
      <c r="AL124" s="48">
        <f t="shared" si="10"/>
        <v>0</v>
      </c>
      <c r="AM124" s="48"/>
      <c r="AN124" s="48"/>
      <c r="AO124" s="48"/>
      <c r="AP124" s="48">
        <f t="shared" si="10"/>
        <v>0</v>
      </c>
      <c r="AQ124" s="48"/>
      <c r="AR124" s="48"/>
      <c r="AS124" s="48"/>
      <c r="AT124" s="48">
        <f>SUBTOTAL(9,AT16:AT120)</f>
        <v>32541684</v>
      </c>
      <c r="AU124" s="48">
        <f>SUBTOTAL(9,AU16:AU121)</f>
        <v>20555131</v>
      </c>
    </row>
    <row r="125" spans="2:47" ht="20.25" customHeight="1" x14ac:dyDescent="0.2">
      <c r="B125" s="537"/>
      <c r="C125" s="537"/>
      <c r="D125" s="537"/>
      <c r="E125" s="537"/>
      <c r="F125" s="44"/>
      <c r="G125" s="16"/>
      <c r="H125" s="16"/>
    </row>
    <row r="126" spans="2:47" x14ac:dyDescent="0.2">
      <c r="B126" s="538" t="s">
        <v>41</v>
      </c>
      <c r="C126" s="538"/>
      <c r="D126" s="538"/>
      <c r="E126" s="538"/>
      <c r="F126" s="538"/>
      <c r="G126" s="538"/>
      <c r="H126" s="538"/>
      <c r="I126" s="538"/>
      <c r="J126" s="538"/>
      <c r="K126" s="538"/>
      <c r="L126" s="538"/>
      <c r="M126" s="538"/>
      <c r="N126" s="538"/>
      <c r="O126" s="538"/>
      <c r="P126" s="538"/>
      <c r="Q126" s="538"/>
      <c r="R126" s="538"/>
      <c r="S126" s="538"/>
      <c r="T126" s="538"/>
      <c r="U126" s="538"/>
      <c r="V126" s="538"/>
      <c r="W126" s="538"/>
      <c r="X126" s="538"/>
      <c r="Y126" s="538"/>
      <c r="Z126" s="538"/>
      <c r="AA126" s="538"/>
      <c r="AB126" s="538"/>
      <c r="AC126" s="538"/>
      <c r="AD126" s="45"/>
      <c r="AE126" s="46"/>
      <c r="AF126" s="45"/>
      <c r="AG126" s="45"/>
      <c r="AH126" s="45"/>
      <c r="AI126" s="47"/>
      <c r="AJ126" s="45"/>
      <c r="AK126" s="45"/>
      <c r="AL126" s="45"/>
      <c r="AM126" s="47"/>
      <c r="AN126" s="45"/>
      <c r="AO126" s="45"/>
      <c r="AP126" s="45"/>
      <c r="AQ126" s="47"/>
      <c r="AR126" s="45"/>
      <c r="AS126" s="45"/>
    </row>
    <row r="127" spans="2:47" x14ac:dyDescent="0.2">
      <c r="AT127" s="8"/>
    </row>
    <row r="128" spans="2:47" x14ac:dyDescent="0.2">
      <c r="AT128" s="8"/>
    </row>
    <row r="133" spans="25:25" ht="15" x14ac:dyDescent="0.2">
      <c r="Y133" s="48">
        <v>11986553600</v>
      </c>
    </row>
    <row r="134" spans="25:25" ht="15" x14ac:dyDescent="0.2">
      <c r="Y134" s="48">
        <f>+Y135-Y124</f>
        <v>0.59999999962747097</v>
      </c>
    </row>
    <row r="135" spans="25:25" ht="15" x14ac:dyDescent="0.2">
      <c r="Y135" s="48">
        <f>+Y133/1000</f>
        <v>11986553.6</v>
      </c>
    </row>
  </sheetData>
  <mergeCells count="16">
    <mergeCell ref="B8:AC8"/>
    <mergeCell ref="B1:AC2"/>
    <mergeCell ref="B3:AC4"/>
    <mergeCell ref="B5:AC5"/>
    <mergeCell ref="B6:AC6"/>
    <mergeCell ref="B7:AC7"/>
    <mergeCell ref="AT14:AU14"/>
    <mergeCell ref="B124:I124"/>
    <mergeCell ref="B125:E125"/>
    <mergeCell ref="B126:AC126"/>
    <mergeCell ref="B9:AC10"/>
    <mergeCell ref="Z14:AC14"/>
    <mergeCell ref="AD14:AG14"/>
    <mergeCell ref="AH14:AK14"/>
    <mergeCell ref="AL14:AO14"/>
    <mergeCell ref="AP14:AS14"/>
  </mergeCells>
  <conditionalFormatting sqref="D16:D37">
    <cfRule type="duplicateValues" dxfId="53" priority="1"/>
  </conditionalFormatting>
  <conditionalFormatting sqref="D16:D37">
    <cfRule type="duplicateValues" dxfId="52" priority="2"/>
  </conditionalFormatting>
  <conditionalFormatting sqref="D123">
    <cfRule type="duplicateValues" dxfId="51" priority="3"/>
  </conditionalFormatting>
  <conditionalFormatting sqref="D38:D122">
    <cfRule type="duplicateValues" dxfId="50" priority="4"/>
  </conditionalFormatting>
  <pageMargins left="0.7" right="0.7" top="0.75" bottom="0.75" header="0.3" footer="0.3"/>
  <pageSetup scale="30" orientation="portrait" r:id="rId1"/>
  <ignoredErrors>
    <ignoredError sqref="O29:O34 L27:O27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EQ300"/>
  <sheetViews>
    <sheetView topLeftCell="A9" workbookViewId="0">
      <pane ySplit="8" topLeftCell="A143" activePane="bottomLeft" state="frozen"/>
      <selection activeCell="A9" sqref="A9"/>
      <selection pane="bottomLeft" activeCell="D21" sqref="D21"/>
    </sheetView>
  </sheetViews>
  <sheetFormatPr baseColWidth="10" defaultRowHeight="11.25" x14ac:dyDescent="0.2"/>
  <cols>
    <col min="1" max="1" width="5" style="139" customWidth="1"/>
    <col min="2" max="2" width="10.140625" style="174" customWidth="1"/>
    <col min="3" max="3" width="9.85546875" style="139" customWidth="1"/>
    <col min="4" max="4" width="11.42578125" style="174" customWidth="1"/>
    <col min="5" max="5" width="52.42578125" style="139" customWidth="1"/>
    <col min="6" max="6" width="13.140625" style="139" customWidth="1"/>
    <col min="7" max="7" width="11.28515625" style="139" customWidth="1"/>
    <col min="8" max="8" width="18.85546875" style="139" customWidth="1"/>
    <col min="9" max="9" width="9.7109375" style="139" customWidth="1"/>
    <col min="10" max="10" width="15.140625" style="139" customWidth="1"/>
    <col min="11" max="26" width="12" style="139" customWidth="1"/>
    <col min="27" max="27" width="10.140625" style="172" customWidth="1"/>
    <col min="28" max="28" width="15.5703125" style="256" customWidth="1"/>
    <col min="29" max="29" width="10.140625" style="139" customWidth="1"/>
    <col min="30" max="30" width="13" style="139" customWidth="1"/>
    <col min="31" max="31" width="10.140625" style="171" customWidth="1"/>
    <col min="32" max="33" width="10.140625" style="256" customWidth="1"/>
    <col min="34" max="34" width="10.140625" style="139" customWidth="1"/>
    <col min="35" max="35" width="10.140625" style="172" customWidth="1"/>
    <col min="36" max="36" width="10.140625" style="256" customWidth="1"/>
    <col min="37" max="38" width="10.140625" style="139" customWidth="1"/>
    <col min="39" max="39" width="10.140625" style="172" customWidth="1"/>
    <col min="40" max="41" width="10.140625" style="139" customWidth="1"/>
    <col min="42" max="42" width="10.140625" style="139" hidden="1" customWidth="1"/>
    <col min="43" max="43" width="10.140625" style="172" hidden="1" customWidth="1"/>
    <col min="44" max="45" width="10.140625" style="139" hidden="1" customWidth="1"/>
    <col min="46" max="47" width="11.42578125" style="139"/>
    <col min="48" max="49" width="0" style="139" hidden="1" customWidth="1"/>
    <col min="50" max="16384" width="11.42578125" style="139"/>
  </cols>
  <sheetData>
    <row r="1" spans="1:147" hidden="1" x14ac:dyDescent="0.2">
      <c r="B1" s="540"/>
      <c r="C1" s="540"/>
      <c r="D1" s="541"/>
      <c r="E1" s="541"/>
      <c r="F1" s="541"/>
      <c r="G1" s="541"/>
      <c r="H1" s="541"/>
      <c r="I1" s="541"/>
      <c r="J1" s="541"/>
      <c r="K1" s="541"/>
      <c r="L1" s="541"/>
      <c r="M1" s="541"/>
      <c r="N1" s="541"/>
      <c r="O1" s="541"/>
      <c r="P1" s="541"/>
      <c r="Q1" s="541"/>
      <c r="R1" s="541"/>
      <c r="S1" s="541"/>
      <c r="T1" s="541"/>
      <c r="U1" s="541"/>
      <c r="V1" s="541"/>
      <c r="W1" s="541"/>
      <c r="X1" s="541"/>
      <c r="Y1" s="541"/>
      <c r="Z1" s="541"/>
      <c r="AA1" s="541"/>
      <c r="AB1" s="541"/>
      <c r="AC1" s="541"/>
      <c r="AD1" s="263"/>
      <c r="AE1" s="264"/>
      <c r="AF1" s="265"/>
      <c r="AG1" s="265"/>
      <c r="AH1" s="263"/>
      <c r="AI1" s="266"/>
      <c r="AJ1" s="265"/>
      <c r="AK1" s="263"/>
      <c r="AL1" s="263"/>
      <c r="AM1" s="266"/>
      <c r="AN1" s="263"/>
      <c r="AO1" s="263"/>
      <c r="AP1" s="263"/>
      <c r="AQ1" s="266"/>
      <c r="AR1" s="263"/>
      <c r="AS1" s="263"/>
    </row>
    <row r="2" spans="1:147" hidden="1" x14ac:dyDescent="0.2">
      <c r="B2" s="541"/>
      <c r="C2" s="541"/>
      <c r="D2" s="541"/>
      <c r="E2" s="541"/>
      <c r="F2" s="541"/>
      <c r="G2" s="541"/>
      <c r="H2" s="541"/>
      <c r="I2" s="541"/>
      <c r="J2" s="541"/>
      <c r="K2" s="541"/>
      <c r="L2" s="541"/>
      <c r="M2" s="541"/>
      <c r="N2" s="541"/>
      <c r="O2" s="541"/>
      <c r="P2" s="541"/>
      <c r="Q2" s="541"/>
      <c r="R2" s="541"/>
      <c r="S2" s="541"/>
      <c r="T2" s="541"/>
      <c r="U2" s="541"/>
      <c r="V2" s="541"/>
      <c r="W2" s="541"/>
      <c r="X2" s="541"/>
      <c r="Y2" s="541"/>
      <c r="Z2" s="541"/>
      <c r="AA2" s="541"/>
      <c r="AB2" s="541"/>
      <c r="AC2" s="541"/>
      <c r="AD2" s="263"/>
      <c r="AE2" s="264"/>
      <c r="AF2" s="265"/>
      <c r="AG2" s="265"/>
      <c r="AH2" s="263"/>
      <c r="AI2" s="266"/>
      <c r="AJ2" s="265"/>
      <c r="AK2" s="263"/>
      <c r="AL2" s="263"/>
      <c r="AM2" s="266"/>
      <c r="AN2" s="263"/>
      <c r="AO2" s="263"/>
      <c r="AP2" s="263"/>
      <c r="AQ2" s="266"/>
      <c r="AR2" s="263"/>
      <c r="AS2" s="263"/>
    </row>
    <row r="3" spans="1:147" hidden="1" x14ac:dyDescent="0.2">
      <c r="B3" s="539"/>
      <c r="C3" s="539"/>
      <c r="D3" s="539"/>
      <c r="E3" s="539"/>
      <c r="F3" s="539"/>
      <c r="G3" s="539"/>
      <c r="H3" s="539"/>
      <c r="I3" s="539"/>
      <c r="J3" s="539"/>
      <c r="K3" s="539"/>
      <c r="L3" s="539"/>
      <c r="M3" s="539"/>
      <c r="N3" s="539"/>
      <c r="O3" s="539"/>
      <c r="P3" s="539"/>
      <c r="Q3" s="539"/>
      <c r="R3" s="539"/>
      <c r="S3" s="539"/>
      <c r="T3" s="539"/>
      <c r="U3" s="539"/>
      <c r="V3" s="539"/>
      <c r="W3" s="539"/>
      <c r="X3" s="539"/>
      <c r="Y3" s="539"/>
      <c r="Z3" s="539"/>
      <c r="AA3" s="539"/>
      <c r="AB3" s="539"/>
      <c r="AC3" s="539"/>
      <c r="AD3" s="142"/>
      <c r="AE3" s="141"/>
      <c r="AF3" s="267"/>
      <c r="AG3" s="267"/>
      <c r="AH3" s="142"/>
      <c r="AI3" s="143"/>
      <c r="AJ3" s="267"/>
      <c r="AK3" s="142"/>
      <c r="AL3" s="142"/>
      <c r="AM3" s="143"/>
      <c r="AN3" s="142"/>
      <c r="AO3" s="142"/>
      <c r="AP3" s="142"/>
      <c r="AQ3" s="143"/>
      <c r="AR3" s="142"/>
      <c r="AS3" s="142"/>
    </row>
    <row r="4" spans="1:147" hidden="1" x14ac:dyDescent="0.2">
      <c r="B4" s="539"/>
      <c r="C4" s="539"/>
      <c r="D4" s="539"/>
      <c r="E4" s="539"/>
      <c r="F4" s="539"/>
      <c r="G4" s="539"/>
      <c r="H4" s="539"/>
      <c r="I4" s="539"/>
      <c r="J4" s="539"/>
      <c r="K4" s="539"/>
      <c r="L4" s="539"/>
      <c r="M4" s="539"/>
      <c r="N4" s="539"/>
      <c r="O4" s="539"/>
      <c r="P4" s="539"/>
      <c r="Q4" s="539"/>
      <c r="R4" s="539"/>
      <c r="S4" s="539"/>
      <c r="T4" s="539"/>
      <c r="U4" s="539"/>
      <c r="V4" s="539"/>
      <c r="W4" s="539"/>
      <c r="X4" s="539"/>
      <c r="Y4" s="539"/>
      <c r="Z4" s="539"/>
      <c r="AA4" s="539"/>
      <c r="AB4" s="539"/>
      <c r="AC4" s="539"/>
      <c r="AD4" s="142"/>
      <c r="AE4" s="141"/>
      <c r="AF4" s="267"/>
      <c r="AG4" s="267"/>
      <c r="AH4" s="142"/>
      <c r="AI4" s="143"/>
      <c r="AJ4" s="267"/>
      <c r="AK4" s="142"/>
      <c r="AL4" s="142"/>
      <c r="AM4" s="143"/>
      <c r="AN4" s="142"/>
      <c r="AO4" s="142"/>
      <c r="AP4" s="142"/>
      <c r="AQ4" s="143"/>
      <c r="AR4" s="142"/>
      <c r="AS4" s="142"/>
    </row>
    <row r="5" spans="1:147" hidden="1" x14ac:dyDescent="0.2">
      <c r="B5" s="539"/>
      <c r="C5" s="539"/>
      <c r="D5" s="539"/>
      <c r="E5" s="539"/>
      <c r="F5" s="539"/>
      <c r="G5" s="539"/>
      <c r="H5" s="539"/>
      <c r="I5" s="539"/>
      <c r="J5" s="539"/>
      <c r="K5" s="539"/>
      <c r="L5" s="539"/>
      <c r="M5" s="539"/>
      <c r="N5" s="539"/>
      <c r="O5" s="539"/>
      <c r="P5" s="539"/>
      <c r="Q5" s="539"/>
      <c r="R5" s="539"/>
      <c r="S5" s="539"/>
      <c r="T5" s="539"/>
      <c r="U5" s="539"/>
      <c r="V5" s="539"/>
      <c r="W5" s="539"/>
      <c r="X5" s="539"/>
      <c r="Y5" s="539"/>
      <c r="Z5" s="539"/>
      <c r="AA5" s="539"/>
      <c r="AB5" s="539"/>
      <c r="AC5" s="539"/>
      <c r="AD5" s="142"/>
      <c r="AE5" s="141"/>
      <c r="AF5" s="267"/>
      <c r="AG5" s="267"/>
      <c r="AH5" s="142"/>
      <c r="AI5" s="143"/>
      <c r="AJ5" s="267"/>
      <c r="AK5" s="142"/>
      <c r="AL5" s="142"/>
      <c r="AM5" s="143"/>
      <c r="AN5" s="142"/>
      <c r="AO5" s="142"/>
      <c r="AP5" s="142"/>
      <c r="AQ5" s="143"/>
      <c r="AR5" s="142"/>
      <c r="AS5" s="142"/>
    </row>
    <row r="6" spans="1:147" hidden="1" x14ac:dyDescent="0.2">
      <c r="B6" s="539"/>
      <c r="C6" s="539"/>
      <c r="D6" s="539"/>
      <c r="E6" s="539"/>
      <c r="F6" s="539"/>
      <c r="G6" s="539"/>
      <c r="H6" s="539"/>
      <c r="I6" s="539"/>
      <c r="J6" s="539"/>
      <c r="K6" s="539"/>
      <c r="L6" s="539"/>
      <c r="M6" s="539"/>
      <c r="N6" s="539"/>
      <c r="O6" s="539"/>
      <c r="P6" s="539"/>
      <c r="Q6" s="539"/>
      <c r="R6" s="539"/>
      <c r="S6" s="539"/>
      <c r="T6" s="539"/>
      <c r="U6" s="539"/>
      <c r="V6" s="539"/>
      <c r="W6" s="539"/>
      <c r="X6" s="539"/>
      <c r="Y6" s="539"/>
      <c r="Z6" s="539"/>
      <c r="AA6" s="539"/>
      <c r="AB6" s="539"/>
      <c r="AC6" s="539"/>
      <c r="AD6" s="142"/>
      <c r="AE6" s="141"/>
      <c r="AF6" s="267"/>
      <c r="AG6" s="267"/>
      <c r="AH6" s="142"/>
      <c r="AI6" s="143"/>
      <c r="AJ6" s="267"/>
      <c r="AK6" s="142"/>
      <c r="AL6" s="142"/>
      <c r="AM6" s="143"/>
      <c r="AN6" s="142"/>
      <c r="AO6" s="142"/>
      <c r="AP6" s="142"/>
      <c r="AQ6" s="143"/>
      <c r="AR6" s="142"/>
      <c r="AS6" s="142"/>
    </row>
    <row r="7" spans="1:147" hidden="1" x14ac:dyDescent="0.2">
      <c r="B7" s="539"/>
      <c r="C7" s="539"/>
      <c r="D7" s="539"/>
      <c r="E7" s="539"/>
      <c r="F7" s="539"/>
      <c r="G7" s="539"/>
      <c r="H7" s="539"/>
      <c r="I7" s="539"/>
      <c r="J7" s="539"/>
      <c r="K7" s="539"/>
      <c r="L7" s="539"/>
      <c r="M7" s="539"/>
      <c r="N7" s="539"/>
      <c r="O7" s="539"/>
      <c r="P7" s="539"/>
      <c r="Q7" s="539"/>
      <c r="R7" s="539"/>
      <c r="S7" s="539"/>
      <c r="T7" s="539"/>
      <c r="U7" s="539"/>
      <c r="V7" s="539"/>
      <c r="W7" s="539"/>
      <c r="X7" s="539"/>
      <c r="Y7" s="539"/>
      <c r="Z7" s="539"/>
      <c r="AA7" s="539"/>
      <c r="AB7" s="539"/>
      <c r="AC7" s="539"/>
      <c r="AD7" s="142"/>
      <c r="AE7" s="141"/>
      <c r="AF7" s="267"/>
      <c r="AG7" s="267"/>
      <c r="AH7" s="142"/>
      <c r="AI7" s="143"/>
      <c r="AJ7" s="267"/>
      <c r="AK7" s="142"/>
      <c r="AL7" s="142"/>
      <c r="AM7" s="143"/>
      <c r="AN7" s="142"/>
      <c r="AO7" s="142"/>
      <c r="AP7" s="142"/>
      <c r="AQ7" s="143"/>
      <c r="AR7" s="142"/>
      <c r="AS7" s="142"/>
    </row>
    <row r="8" spans="1:147" hidden="1" x14ac:dyDescent="0.2">
      <c r="B8" s="539"/>
      <c r="C8" s="539"/>
      <c r="D8" s="539"/>
      <c r="E8" s="539"/>
      <c r="F8" s="539"/>
      <c r="G8" s="539"/>
      <c r="H8" s="539"/>
      <c r="I8" s="539"/>
      <c r="J8" s="539"/>
      <c r="K8" s="539"/>
      <c r="L8" s="539"/>
      <c r="M8" s="539"/>
      <c r="N8" s="539"/>
      <c r="O8" s="539"/>
      <c r="P8" s="539"/>
      <c r="Q8" s="539"/>
      <c r="R8" s="539"/>
      <c r="S8" s="539"/>
      <c r="T8" s="539"/>
      <c r="U8" s="539"/>
      <c r="V8" s="539"/>
      <c r="W8" s="539"/>
      <c r="X8" s="539"/>
      <c r="Y8" s="539"/>
      <c r="Z8" s="539"/>
      <c r="AA8" s="539"/>
      <c r="AB8" s="539"/>
      <c r="AC8" s="539"/>
      <c r="AD8" s="142"/>
      <c r="AE8" s="141"/>
      <c r="AF8" s="267"/>
      <c r="AG8" s="267"/>
      <c r="AH8" s="142"/>
      <c r="AI8" s="143"/>
      <c r="AJ8" s="267"/>
      <c r="AK8" s="142"/>
      <c r="AL8" s="142"/>
      <c r="AM8" s="143"/>
      <c r="AN8" s="142"/>
      <c r="AO8" s="142"/>
      <c r="AP8" s="142"/>
      <c r="AQ8" s="143"/>
      <c r="AR8" s="142"/>
      <c r="AS8" s="142"/>
    </row>
    <row r="9" spans="1:147" x14ac:dyDescent="0.2">
      <c r="B9" s="542" t="s">
        <v>0</v>
      </c>
      <c r="C9" s="542"/>
      <c r="D9" s="542"/>
      <c r="E9" s="542"/>
      <c r="F9" s="542"/>
      <c r="G9" s="542"/>
      <c r="H9" s="542"/>
      <c r="I9" s="542"/>
      <c r="J9" s="542"/>
      <c r="K9" s="542"/>
      <c r="L9" s="542"/>
      <c r="M9" s="542"/>
      <c r="N9" s="542"/>
      <c r="O9" s="542"/>
      <c r="P9" s="542"/>
      <c r="Q9" s="542"/>
      <c r="R9" s="542"/>
      <c r="S9" s="542"/>
      <c r="T9" s="542"/>
      <c r="U9" s="542"/>
      <c r="V9" s="542"/>
      <c r="W9" s="542"/>
      <c r="X9" s="542"/>
      <c r="Y9" s="542"/>
      <c r="Z9" s="542"/>
      <c r="AA9" s="542"/>
      <c r="AB9" s="542"/>
      <c r="AC9" s="542"/>
      <c r="AD9" s="142"/>
      <c r="AE9" s="141"/>
      <c r="AF9" s="267"/>
      <c r="AG9" s="267"/>
      <c r="AH9" s="142"/>
      <c r="AI9" s="143"/>
      <c r="AJ9" s="267"/>
      <c r="AK9" s="142"/>
      <c r="AL9" s="142"/>
      <c r="AM9" s="143"/>
      <c r="AN9" s="142"/>
      <c r="AO9" s="142"/>
      <c r="AP9" s="142"/>
      <c r="AQ9" s="143"/>
      <c r="AR9" s="142"/>
      <c r="AS9" s="142"/>
    </row>
    <row r="10" spans="1:147" x14ac:dyDescent="0.2">
      <c r="B10" s="542"/>
      <c r="C10" s="542"/>
      <c r="D10" s="542"/>
      <c r="E10" s="542"/>
      <c r="F10" s="542"/>
      <c r="G10" s="542"/>
      <c r="H10" s="542"/>
      <c r="I10" s="542"/>
      <c r="J10" s="542"/>
      <c r="K10" s="542"/>
      <c r="L10" s="542"/>
      <c r="M10" s="542"/>
      <c r="N10" s="542"/>
      <c r="O10" s="542"/>
      <c r="P10" s="542"/>
      <c r="Q10" s="542"/>
      <c r="R10" s="542"/>
      <c r="S10" s="542"/>
      <c r="T10" s="542"/>
      <c r="U10" s="542"/>
      <c r="V10" s="542"/>
      <c r="W10" s="542"/>
      <c r="X10" s="542"/>
      <c r="Y10" s="542"/>
      <c r="Z10" s="542"/>
      <c r="AA10" s="542"/>
      <c r="AB10" s="542"/>
      <c r="AC10" s="542"/>
    </row>
    <row r="11" spans="1:147" ht="18.75" x14ac:dyDescent="0.2">
      <c r="B11" s="542" t="s">
        <v>1235</v>
      </c>
      <c r="C11" s="542"/>
      <c r="D11" s="542"/>
      <c r="E11" s="542"/>
      <c r="F11" s="542"/>
      <c r="G11" s="542"/>
      <c r="H11" s="542"/>
      <c r="I11" s="542"/>
      <c r="J11" s="542"/>
      <c r="K11" s="542"/>
      <c r="L11" s="542"/>
      <c r="M11" s="542"/>
      <c r="N11" s="542"/>
      <c r="O11" s="542"/>
      <c r="P11" s="542"/>
      <c r="Q11" s="542"/>
      <c r="R11" s="542"/>
      <c r="S11" s="542"/>
      <c r="T11" s="542"/>
      <c r="U11" s="542"/>
      <c r="V11" s="542"/>
      <c r="W11" s="542"/>
      <c r="X11" s="542"/>
      <c r="Y11" s="542"/>
      <c r="Z11" s="542"/>
      <c r="AA11" s="542"/>
      <c r="AB11" s="542"/>
      <c r="AC11" s="542"/>
    </row>
    <row r="12" spans="1:147" ht="18.75" x14ac:dyDescent="0.2">
      <c r="B12" s="170"/>
      <c r="C12" s="170"/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268"/>
      <c r="AC12" s="170"/>
    </row>
    <row r="13" spans="1:147" s="4" customFormat="1" ht="33" customHeight="1" x14ac:dyDescent="0.2">
      <c r="A13" s="139"/>
      <c r="B13" s="10" t="s">
        <v>1</v>
      </c>
      <c r="C13" s="10" t="s">
        <v>2</v>
      </c>
      <c r="D13" s="11" t="s">
        <v>3</v>
      </c>
      <c r="E13" s="12" t="s">
        <v>4</v>
      </c>
      <c r="F13" s="13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39"/>
      <c r="AE13" s="171"/>
      <c r="AF13" s="139"/>
      <c r="AG13" s="139"/>
      <c r="AH13" s="139"/>
      <c r="AI13" s="172"/>
      <c r="AJ13" s="139"/>
      <c r="AK13" s="139"/>
      <c r="AL13" s="139"/>
      <c r="AM13" s="172"/>
      <c r="AN13" s="139"/>
      <c r="AO13" s="139"/>
      <c r="AP13" s="139"/>
      <c r="AQ13" s="172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139"/>
      <c r="DV13" s="139"/>
      <c r="DW13" s="139"/>
      <c r="DX13" s="139"/>
      <c r="DY13" s="139"/>
      <c r="DZ13" s="139"/>
      <c r="EA13" s="139"/>
      <c r="EB13" s="139"/>
      <c r="EC13" s="139"/>
      <c r="ED13" s="139"/>
      <c r="EE13" s="139"/>
      <c r="EF13" s="139"/>
      <c r="EG13" s="139"/>
      <c r="EH13" s="139"/>
      <c r="EI13" s="139"/>
      <c r="EJ13" s="139"/>
      <c r="EK13" s="139"/>
      <c r="EL13" s="139"/>
      <c r="EM13" s="139"/>
      <c r="EN13" s="139"/>
      <c r="EO13" s="139"/>
      <c r="EP13" s="139"/>
      <c r="EQ13" s="139"/>
    </row>
    <row r="14" spans="1:147" s="4" customFormat="1" ht="18.75" x14ac:dyDescent="0.2">
      <c r="A14" s="139"/>
      <c r="B14" s="15">
        <v>57190327</v>
      </c>
      <c r="C14" s="15">
        <v>43842901</v>
      </c>
      <c r="D14" s="15">
        <f>C14</f>
        <v>43842901</v>
      </c>
      <c r="E14" s="15">
        <f>+Y295</f>
        <v>5703657.6970000006</v>
      </c>
      <c r="F14" s="173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39"/>
      <c r="AE14" s="171"/>
      <c r="AF14" s="139"/>
      <c r="AG14" s="139"/>
      <c r="AH14" s="139"/>
      <c r="AI14" s="172"/>
      <c r="AJ14" s="139"/>
      <c r="AK14" s="139"/>
      <c r="AL14" s="139"/>
      <c r="AM14" s="172"/>
      <c r="AN14" s="139"/>
      <c r="AO14" s="139"/>
      <c r="AP14" s="139"/>
      <c r="AQ14" s="172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9"/>
      <c r="CN14" s="139"/>
      <c r="CO14" s="139"/>
      <c r="CP14" s="139"/>
      <c r="CQ14" s="139"/>
      <c r="CR14" s="139"/>
      <c r="CS14" s="139"/>
      <c r="CT14" s="139"/>
      <c r="CU14" s="139"/>
      <c r="CV14" s="139"/>
      <c r="CW14" s="139"/>
      <c r="CX14" s="139"/>
      <c r="CY14" s="139"/>
      <c r="CZ14" s="139"/>
      <c r="DA14" s="139"/>
      <c r="DB14" s="139"/>
      <c r="DC14" s="139"/>
      <c r="DD14" s="139"/>
      <c r="DE14" s="139"/>
      <c r="DF14" s="139"/>
      <c r="DG14" s="139"/>
      <c r="DH14" s="139"/>
      <c r="DI14" s="139"/>
      <c r="DJ14" s="139"/>
      <c r="DK14" s="139"/>
      <c r="DL14" s="139"/>
      <c r="DM14" s="139"/>
      <c r="DN14" s="139"/>
      <c r="DO14" s="139"/>
      <c r="DP14" s="139"/>
      <c r="DQ14" s="139"/>
      <c r="DR14" s="139"/>
      <c r="DS14" s="139"/>
      <c r="DT14" s="139"/>
      <c r="DU14" s="139"/>
      <c r="DV14" s="139"/>
      <c r="DW14" s="139"/>
      <c r="DX14" s="139"/>
      <c r="DY14" s="139"/>
      <c r="DZ14" s="139"/>
      <c r="EA14" s="139"/>
      <c r="EB14" s="139"/>
      <c r="EC14" s="139"/>
      <c r="ED14" s="139"/>
      <c r="EE14" s="139"/>
      <c r="EF14" s="139"/>
      <c r="EG14" s="139"/>
      <c r="EH14" s="139"/>
      <c r="EI14" s="139"/>
      <c r="EJ14" s="139"/>
      <c r="EK14" s="139"/>
      <c r="EL14" s="139"/>
      <c r="EM14" s="139"/>
      <c r="EN14" s="139"/>
      <c r="EO14" s="139"/>
      <c r="EP14" s="139"/>
      <c r="EQ14" s="139"/>
    </row>
    <row r="15" spans="1:147" s="4" customFormat="1" ht="15" customHeight="1" x14ac:dyDescent="0.2">
      <c r="A15" s="139"/>
      <c r="B15" s="16"/>
      <c r="C15" s="17"/>
      <c r="D15" s="18"/>
      <c r="E15" s="17"/>
      <c r="F15" s="175"/>
      <c r="G15" s="139"/>
      <c r="H15" s="139"/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531" t="s">
        <v>5</v>
      </c>
      <c r="AA15" s="532"/>
      <c r="AB15" s="532"/>
      <c r="AC15" s="533"/>
      <c r="AD15" s="524" t="s">
        <v>6</v>
      </c>
      <c r="AE15" s="525"/>
      <c r="AF15" s="525"/>
      <c r="AG15" s="526"/>
      <c r="AH15" s="524" t="s">
        <v>6</v>
      </c>
      <c r="AI15" s="525"/>
      <c r="AJ15" s="525"/>
      <c r="AK15" s="526"/>
      <c r="AL15" s="524" t="s">
        <v>6</v>
      </c>
      <c r="AM15" s="525"/>
      <c r="AN15" s="525"/>
      <c r="AO15" s="526"/>
      <c r="AP15" s="524" t="s">
        <v>6</v>
      </c>
      <c r="AQ15" s="525"/>
      <c r="AR15" s="525"/>
      <c r="AS15" s="526"/>
      <c r="AT15" s="518" t="s">
        <v>7</v>
      </c>
      <c r="AU15" s="518"/>
      <c r="AX15" s="139"/>
      <c r="AY15" s="139"/>
      <c r="AZ15" s="139"/>
      <c r="BA15" s="139"/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39"/>
      <c r="BO15" s="139"/>
      <c r="BP15" s="139"/>
      <c r="BQ15" s="139"/>
      <c r="BR15" s="139"/>
      <c r="BS15" s="139"/>
      <c r="BT15" s="139"/>
      <c r="BU15" s="139"/>
      <c r="BV15" s="139"/>
      <c r="BW15" s="139"/>
      <c r="BX15" s="139"/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39"/>
      <c r="CO15" s="139"/>
      <c r="CP15" s="139"/>
      <c r="CQ15" s="139"/>
      <c r="CR15" s="139"/>
      <c r="CS15" s="139"/>
      <c r="CT15" s="139"/>
      <c r="CU15" s="139"/>
      <c r="CV15" s="139"/>
      <c r="CW15" s="139"/>
      <c r="CX15" s="139"/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39"/>
      <c r="DL15" s="139"/>
      <c r="DM15" s="139"/>
      <c r="DN15" s="139"/>
      <c r="DO15" s="139"/>
      <c r="DP15" s="139"/>
      <c r="DQ15" s="139"/>
      <c r="DR15" s="139"/>
      <c r="DS15" s="139"/>
      <c r="DT15" s="139"/>
      <c r="DU15" s="139"/>
      <c r="DV15" s="139"/>
      <c r="DW15" s="139"/>
      <c r="DX15" s="139"/>
      <c r="DY15" s="139"/>
      <c r="DZ15" s="139"/>
      <c r="EA15" s="139"/>
      <c r="EB15" s="139"/>
      <c r="EC15" s="139"/>
      <c r="ED15" s="139"/>
      <c r="EE15" s="139"/>
      <c r="EF15" s="139"/>
      <c r="EG15" s="139"/>
      <c r="EH15" s="139"/>
      <c r="EI15" s="139"/>
      <c r="EJ15" s="139"/>
      <c r="EK15" s="139"/>
      <c r="EL15" s="139"/>
      <c r="EM15" s="139"/>
      <c r="EN15" s="139"/>
      <c r="EO15" s="139"/>
      <c r="EP15" s="139"/>
      <c r="EQ15" s="139"/>
    </row>
    <row r="16" spans="1:147" s="26" customFormat="1" ht="55.5" customHeight="1" x14ac:dyDescent="0.25">
      <c r="A16" s="140"/>
      <c r="B16" s="19" t="s">
        <v>8</v>
      </c>
      <c r="C16" s="19" t="s">
        <v>9</v>
      </c>
      <c r="D16" s="19" t="s">
        <v>10</v>
      </c>
      <c r="E16" s="20" t="s">
        <v>11</v>
      </c>
      <c r="F16" s="20" t="s">
        <v>12</v>
      </c>
      <c r="G16" s="20" t="s">
        <v>13</v>
      </c>
      <c r="H16" s="20" t="s">
        <v>14</v>
      </c>
      <c r="I16" s="20" t="s">
        <v>15</v>
      </c>
      <c r="J16" s="20" t="s">
        <v>16</v>
      </c>
      <c r="K16" s="20" t="s">
        <v>17</v>
      </c>
      <c r="L16" s="20" t="s">
        <v>18</v>
      </c>
      <c r="M16" s="85" t="s">
        <v>19</v>
      </c>
      <c r="N16" s="85" t="s">
        <v>20</v>
      </c>
      <c r="O16" s="85" t="s">
        <v>21</v>
      </c>
      <c r="P16" s="85" t="s">
        <v>22</v>
      </c>
      <c r="Q16" s="85" t="s">
        <v>23</v>
      </c>
      <c r="R16" s="86" t="s">
        <v>24</v>
      </c>
      <c r="S16" s="86" t="s">
        <v>25</v>
      </c>
      <c r="T16" s="86" t="s">
        <v>26</v>
      </c>
      <c r="U16" s="86" t="s">
        <v>27</v>
      </c>
      <c r="V16" s="86" t="s">
        <v>28</v>
      </c>
      <c r="W16" s="86" t="s">
        <v>29</v>
      </c>
      <c r="X16" s="86" t="s">
        <v>30</v>
      </c>
      <c r="Y16" s="21" t="s">
        <v>31</v>
      </c>
      <c r="Z16" s="22" t="s">
        <v>32</v>
      </c>
      <c r="AA16" s="23" t="s">
        <v>33</v>
      </c>
      <c r="AB16" s="22" t="s">
        <v>34</v>
      </c>
      <c r="AC16" s="22" t="s">
        <v>35</v>
      </c>
      <c r="AD16" s="24" t="s">
        <v>36</v>
      </c>
      <c r="AE16" s="25" t="s">
        <v>33</v>
      </c>
      <c r="AF16" s="24" t="s">
        <v>34</v>
      </c>
      <c r="AG16" s="24" t="s">
        <v>35</v>
      </c>
      <c r="AH16" s="24" t="s">
        <v>36</v>
      </c>
      <c r="AI16" s="25" t="s">
        <v>33</v>
      </c>
      <c r="AJ16" s="24" t="s">
        <v>34</v>
      </c>
      <c r="AK16" s="24" t="s">
        <v>35</v>
      </c>
      <c r="AL16" s="24" t="s">
        <v>36</v>
      </c>
      <c r="AM16" s="25" t="s">
        <v>33</v>
      </c>
      <c r="AN16" s="24" t="s">
        <v>34</v>
      </c>
      <c r="AO16" s="24" t="s">
        <v>35</v>
      </c>
      <c r="AP16" s="24" t="s">
        <v>36</v>
      </c>
      <c r="AQ16" s="25" t="s">
        <v>33</v>
      </c>
      <c r="AR16" s="24" t="s">
        <v>34</v>
      </c>
      <c r="AS16" s="24" t="s">
        <v>35</v>
      </c>
      <c r="AT16" s="49" t="s">
        <v>37</v>
      </c>
      <c r="AU16" s="49" t="s">
        <v>38</v>
      </c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0"/>
      <c r="CG16" s="140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0"/>
      <c r="DN16" s="140"/>
      <c r="DO16" s="140"/>
      <c r="DP16" s="140"/>
      <c r="DQ16" s="140"/>
      <c r="DR16" s="140"/>
      <c r="DS16" s="140"/>
      <c r="DT16" s="140"/>
      <c r="DU16" s="140"/>
      <c r="DV16" s="140"/>
      <c r="DW16" s="140"/>
      <c r="DX16" s="140"/>
      <c r="DY16" s="140"/>
      <c r="DZ16" s="140"/>
      <c r="EA16" s="140"/>
      <c r="EB16" s="140"/>
      <c r="EC16" s="140"/>
      <c r="ED16" s="140"/>
      <c r="EE16" s="140"/>
      <c r="EF16" s="140"/>
      <c r="EG16" s="140"/>
      <c r="EH16" s="140"/>
      <c r="EI16" s="140"/>
      <c r="EJ16" s="140"/>
      <c r="EK16" s="140"/>
      <c r="EL16" s="140"/>
      <c r="EM16" s="140"/>
      <c r="EN16" s="140"/>
      <c r="EO16" s="140"/>
      <c r="EP16" s="140"/>
      <c r="EQ16" s="140"/>
    </row>
    <row r="17" spans="2:49" s="140" customFormat="1" x14ac:dyDescent="0.25">
      <c r="B17" s="227">
        <v>1</v>
      </c>
      <c r="C17" s="227" t="s">
        <v>39</v>
      </c>
      <c r="D17" s="28">
        <v>30464945</v>
      </c>
      <c r="E17" s="247" t="s">
        <v>1236</v>
      </c>
      <c r="F17" s="247" t="s">
        <v>54</v>
      </c>
      <c r="G17" s="229" t="s">
        <v>1237</v>
      </c>
      <c r="H17" s="247" t="s">
        <v>1238</v>
      </c>
      <c r="I17" s="247" t="s">
        <v>57</v>
      </c>
      <c r="J17" s="248">
        <v>3753377</v>
      </c>
      <c r="K17" s="248">
        <v>3048174</v>
      </c>
      <c r="L17" s="248">
        <f>J17-K17</f>
        <v>705203</v>
      </c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  <c r="X17" s="249"/>
      <c r="Y17" s="249">
        <f>SUM(M17:X17)</f>
        <v>0</v>
      </c>
      <c r="Z17" s="249">
        <v>522100</v>
      </c>
      <c r="AA17" s="249" t="s">
        <v>1239</v>
      </c>
      <c r="AB17" s="250">
        <v>44216</v>
      </c>
      <c r="AC17" s="251">
        <v>44225</v>
      </c>
      <c r="AD17" s="249">
        <v>7230</v>
      </c>
      <c r="AE17" s="249" t="s">
        <v>1240</v>
      </c>
      <c r="AF17" s="250">
        <v>44274</v>
      </c>
      <c r="AG17" s="250">
        <v>44279</v>
      </c>
      <c r="AH17" s="249"/>
      <c r="AI17" s="249"/>
      <c r="AJ17" s="250"/>
      <c r="AK17" s="249"/>
      <c r="AL17" s="249"/>
      <c r="AM17" s="249"/>
      <c r="AN17" s="249"/>
      <c r="AO17" s="249"/>
      <c r="AP17" s="249"/>
      <c r="AQ17" s="249"/>
      <c r="AR17" s="249"/>
      <c r="AS17" s="249"/>
      <c r="AT17" s="249">
        <v>529330</v>
      </c>
      <c r="AU17" s="249">
        <f>AT17-Y17</f>
        <v>529330</v>
      </c>
      <c r="AV17" s="269">
        <f>Z17+AD17</f>
        <v>529330</v>
      </c>
      <c r="AW17" s="269">
        <f>AV17-AT17</f>
        <v>0</v>
      </c>
    </row>
    <row r="18" spans="2:49" s="140" customFormat="1" ht="22.5" x14ac:dyDescent="0.25">
      <c r="B18" s="227">
        <v>2</v>
      </c>
      <c r="C18" s="227" t="s">
        <v>39</v>
      </c>
      <c r="D18" s="28">
        <v>30444822</v>
      </c>
      <c r="E18" s="247" t="s">
        <v>1241</v>
      </c>
      <c r="F18" s="247" t="s">
        <v>54</v>
      </c>
      <c r="G18" s="229" t="s">
        <v>1237</v>
      </c>
      <c r="H18" s="247" t="s">
        <v>1242</v>
      </c>
      <c r="I18" s="247" t="s">
        <v>57</v>
      </c>
      <c r="J18" s="248">
        <v>2598725</v>
      </c>
      <c r="K18" s="248">
        <v>2463382</v>
      </c>
      <c r="L18" s="248">
        <f t="shared" ref="L18:L81" si="0">J18-K18</f>
        <v>135343</v>
      </c>
      <c r="M18" s="249">
        <v>126474.239</v>
      </c>
      <c r="N18" s="249"/>
      <c r="O18" s="249"/>
      <c r="P18" s="249"/>
      <c r="Q18" s="249"/>
      <c r="R18" s="249"/>
      <c r="S18" s="249"/>
      <c r="T18" s="249"/>
      <c r="U18" s="249"/>
      <c r="V18" s="249"/>
      <c r="W18" s="249"/>
      <c r="X18" s="249"/>
      <c r="Y18" s="249">
        <f t="shared" ref="Y18:Y81" si="1">SUM(M18:X18)</f>
        <v>126474.239</v>
      </c>
      <c r="Z18" s="249">
        <v>133520</v>
      </c>
      <c r="AA18" s="249" t="s">
        <v>1239</v>
      </c>
      <c r="AB18" s="250">
        <v>44216</v>
      </c>
      <c r="AC18" s="251">
        <v>44225</v>
      </c>
      <c r="AD18" s="249"/>
      <c r="AE18" s="249"/>
      <c r="AF18" s="250"/>
      <c r="AG18" s="250"/>
      <c r="AH18" s="249"/>
      <c r="AI18" s="249"/>
      <c r="AJ18" s="250"/>
      <c r="AK18" s="249"/>
      <c r="AL18" s="249"/>
      <c r="AM18" s="249"/>
      <c r="AN18" s="249"/>
      <c r="AO18" s="249"/>
      <c r="AP18" s="249"/>
      <c r="AQ18" s="249"/>
      <c r="AR18" s="249"/>
      <c r="AS18" s="249"/>
      <c r="AT18" s="249">
        <v>133520</v>
      </c>
      <c r="AU18" s="249">
        <f t="shared" ref="AU18:AU81" si="2">AT18-Y18</f>
        <v>7045.7609999999986</v>
      </c>
      <c r="AV18" s="269">
        <f t="shared" ref="AV18:AV81" si="3">Z18+AD18</f>
        <v>133520</v>
      </c>
      <c r="AW18" s="269">
        <f t="shared" ref="AW18:AW81" si="4">AV18-AT18</f>
        <v>0</v>
      </c>
    </row>
    <row r="19" spans="2:49" s="140" customFormat="1" x14ac:dyDescent="0.25">
      <c r="B19" s="227">
        <v>3</v>
      </c>
      <c r="C19" s="227" t="s">
        <v>39</v>
      </c>
      <c r="D19" s="28">
        <v>20039270</v>
      </c>
      <c r="E19" s="247" t="s">
        <v>1243</v>
      </c>
      <c r="F19" s="247" t="s">
        <v>54</v>
      </c>
      <c r="G19" s="229" t="s">
        <v>1237</v>
      </c>
      <c r="H19" s="247" t="s">
        <v>1244</v>
      </c>
      <c r="I19" s="247" t="s">
        <v>57</v>
      </c>
      <c r="J19" s="248">
        <v>2466772</v>
      </c>
      <c r="K19" s="248">
        <v>2293335</v>
      </c>
      <c r="L19" s="248">
        <f t="shared" si="0"/>
        <v>173437</v>
      </c>
      <c r="M19" s="249"/>
      <c r="N19" s="249"/>
      <c r="O19" s="249">
        <v>7019.3029999999999</v>
      </c>
      <c r="P19" s="249"/>
      <c r="Q19" s="249"/>
      <c r="R19" s="249"/>
      <c r="S19" s="249"/>
      <c r="T19" s="249"/>
      <c r="U19" s="249"/>
      <c r="V19" s="249"/>
      <c r="W19" s="249"/>
      <c r="X19" s="249"/>
      <c r="Y19" s="249">
        <f t="shared" si="1"/>
        <v>7019.3029999999999</v>
      </c>
      <c r="Z19" s="249">
        <v>173437</v>
      </c>
      <c r="AA19" s="249" t="s">
        <v>1239</v>
      </c>
      <c r="AB19" s="250">
        <v>44216</v>
      </c>
      <c r="AC19" s="251">
        <v>44225</v>
      </c>
      <c r="AD19" s="249"/>
      <c r="AE19" s="249"/>
      <c r="AF19" s="250"/>
      <c r="AG19" s="250"/>
      <c r="AH19" s="249"/>
      <c r="AI19" s="249"/>
      <c r="AJ19" s="250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>
        <v>173437</v>
      </c>
      <c r="AU19" s="249">
        <f t="shared" si="2"/>
        <v>166417.69699999999</v>
      </c>
      <c r="AV19" s="269">
        <f t="shared" si="3"/>
        <v>173437</v>
      </c>
      <c r="AW19" s="269">
        <f t="shared" si="4"/>
        <v>0</v>
      </c>
    </row>
    <row r="20" spans="2:49" s="140" customFormat="1" x14ac:dyDescent="0.25">
      <c r="B20" s="227">
        <v>4</v>
      </c>
      <c r="C20" s="227" t="s">
        <v>39</v>
      </c>
      <c r="D20" s="28">
        <v>30102811</v>
      </c>
      <c r="E20" s="247" t="s">
        <v>1245</v>
      </c>
      <c r="F20" s="247" t="s">
        <v>54</v>
      </c>
      <c r="G20" s="229" t="s">
        <v>1237</v>
      </c>
      <c r="H20" s="247" t="s">
        <v>1244</v>
      </c>
      <c r="I20" s="247" t="s">
        <v>57</v>
      </c>
      <c r="J20" s="248">
        <v>1014086</v>
      </c>
      <c r="K20" s="248">
        <v>983851</v>
      </c>
      <c r="L20" s="248">
        <f t="shared" si="0"/>
        <v>30235</v>
      </c>
      <c r="M20" s="249">
        <v>482</v>
      </c>
      <c r="N20" s="249">
        <v>29752.972000000002</v>
      </c>
      <c r="O20" s="249"/>
      <c r="P20" s="249"/>
      <c r="Q20" s="249"/>
      <c r="R20" s="249"/>
      <c r="S20" s="249"/>
      <c r="T20" s="249"/>
      <c r="U20" s="249"/>
      <c r="V20" s="249"/>
      <c r="W20" s="249"/>
      <c r="X20" s="249"/>
      <c r="Y20" s="249">
        <f t="shared" si="1"/>
        <v>30234.972000000002</v>
      </c>
      <c r="Z20" s="249">
        <v>30235</v>
      </c>
      <c r="AA20" s="249" t="s">
        <v>1239</v>
      </c>
      <c r="AB20" s="250">
        <v>44216</v>
      </c>
      <c r="AC20" s="251">
        <v>44225</v>
      </c>
      <c r="AD20" s="249"/>
      <c r="AE20" s="249"/>
      <c r="AF20" s="250"/>
      <c r="AG20" s="250"/>
      <c r="AH20" s="249"/>
      <c r="AI20" s="249"/>
      <c r="AJ20" s="250"/>
      <c r="AK20" s="249"/>
      <c r="AL20" s="249"/>
      <c r="AM20" s="249"/>
      <c r="AN20" s="249"/>
      <c r="AO20" s="249"/>
      <c r="AP20" s="249"/>
      <c r="AQ20" s="249"/>
      <c r="AR20" s="249"/>
      <c r="AS20" s="249"/>
      <c r="AT20" s="249">
        <v>30235</v>
      </c>
      <c r="AU20" s="249">
        <f t="shared" si="2"/>
        <v>2.7999999998428393E-2</v>
      </c>
      <c r="AV20" s="269">
        <f t="shared" si="3"/>
        <v>30235</v>
      </c>
      <c r="AW20" s="269">
        <f t="shared" si="4"/>
        <v>0</v>
      </c>
    </row>
    <row r="21" spans="2:49" s="140" customFormat="1" x14ac:dyDescent="0.25">
      <c r="B21" s="227">
        <v>5</v>
      </c>
      <c r="C21" s="227" t="s">
        <v>42</v>
      </c>
      <c r="D21" s="28">
        <v>30132855</v>
      </c>
      <c r="E21" s="247" t="s">
        <v>1246</v>
      </c>
      <c r="F21" s="247" t="s">
        <v>54</v>
      </c>
      <c r="G21" s="229" t="s">
        <v>1237</v>
      </c>
      <c r="H21" s="247" t="s">
        <v>1247</v>
      </c>
      <c r="I21" s="247" t="s">
        <v>57</v>
      </c>
      <c r="J21" s="248">
        <v>138089</v>
      </c>
      <c r="K21" s="248">
        <v>69274</v>
      </c>
      <c r="L21" s="248">
        <f t="shared" si="0"/>
        <v>68815</v>
      </c>
      <c r="M21" s="249"/>
      <c r="N21" s="249"/>
      <c r="O21" s="249"/>
      <c r="P21" s="249"/>
      <c r="Q21" s="249"/>
      <c r="R21" s="249"/>
      <c r="S21" s="249"/>
      <c r="T21" s="249"/>
      <c r="U21" s="249"/>
      <c r="V21" s="249"/>
      <c r="W21" s="249"/>
      <c r="X21" s="249"/>
      <c r="Y21" s="249">
        <f t="shared" si="1"/>
        <v>0</v>
      </c>
      <c r="Z21" s="249">
        <v>65001</v>
      </c>
      <c r="AA21" s="249" t="s">
        <v>1239</v>
      </c>
      <c r="AB21" s="250">
        <v>44216</v>
      </c>
      <c r="AC21" s="251">
        <v>44225</v>
      </c>
      <c r="AD21" s="249"/>
      <c r="AE21" s="249"/>
      <c r="AF21" s="250"/>
      <c r="AG21" s="250"/>
      <c r="AH21" s="249"/>
      <c r="AI21" s="249"/>
      <c r="AJ21" s="250"/>
      <c r="AK21" s="249"/>
      <c r="AL21" s="249"/>
      <c r="AM21" s="249"/>
      <c r="AN21" s="249"/>
      <c r="AO21" s="249"/>
      <c r="AP21" s="249"/>
      <c r="AQ21" s="249"/>
      <c r="AR21" s="249"/>
      <c r="AS21" s="249"/>
      <c r="AT21" s="249">
        <v>65001</v>
      </c>
      <c r="AU21" s="249">
        <f t="shared" si="2"/>
        <v>65001</v>
      </c>
      <c r="AV21" s="269">
        <f t="shared" si="3"/>
        <v>65001</v>
      </c>
      <c r="AW21" s="269">
        <f t="shared" si="4"/>
        <v>0</v>
      </c>
    </row>
    <row r="22" spans="2:49" s="140" customFormat="1" x14ac:dyDescent="0.25">
      <c r="B22" s="227">
        <v>6</v>
      </c>
      <c r="C22" s="227" t="s">
        <v>39</v>
      </c>
      <c r="D22" s="28">
        <v>30134987</v>
      </c>
      <c r="E22" s="247" t="s">
        <v>1248</v>
      </c>
      <c r="F22" s="247" t="s">
        <v>54</v>
      </c>
      <c r="G22" s="229" t="s">
        <v>1237</v>
      </c>
      <c r="H22" s="247" t="s">
        <v>1249</v>
      </c>
      <c r="I22" s="247" t="s">
        <v>57</v>
      </c>
      <c r="J22" s="248">
        <v>238414</v>
      </c>
      <c r="K22" s="248">
        <v>226120</v>
      </c>
      <c r="L22" s="248">
        <f t="shared" si="0"/>
        <v>12294</v>
      </c>
      <c r="M22" s="249">
        <v>820.89099999999996</v>
      </c>
      <c r="N22" s="249">
        <v>5082.7629999999999</v>
      </c>
      <c r="O22" s="249"/>
      <c r="P22" s="249"/>
      <c r="Q22" s="249"/>
      <c r="R22" s="249"/>
      <c r="S22" s="249"/>
      <c r="T22" s="249"/>
      <c r="U22" s="249"/>
      <c r="V22" s="249"/>
      <c r="W22" s="249"/>
      <c r="X22" s="249"/>
      <c r="Y22" s="249">
        <f t="shared" si="1"/>
        <v>5903.6539999999995</v>
      </c>
      <c r="Z22" s="249">
        <v>12294</v>
      </c>
      <c r="AA22" s="249" t="s">
        <v>1239</v>
      </c>
      <c r="AB22" s="250">
        <v>44216</v>
      </c>
      <c r="AC22" s="251">
        <v>44225</v>
      </c>
      <c r="AD22" s="249"/>
      <c r="AE22" s="249"/>
      <c r="AF22" s="250"/>
      <c r="AG22" s="250"/>
      <c r="AH22" s="249"/>
      <c r="AI22" s="249"/>
      <c r="AJ22" s="250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>
        <v>12294</v>
      </c>
      <c r="AU22" s="249">
        <f t="shared" si="2"/>
        <v>6390.3460000000005</v>
      </c>
      <c r="AV22" s="269">
        <f t="shared" si="3"/>
        <v>12294</v>
      </c>
      <c r="AW22" s="269">
        <f t="shared" si="4"/>
        <v>0</v>
      </c>
    </row>
    <row r="23" spans="2:49" s="140" customFormat="1" x14ac:dyDescent="0.25">
      <c r="B23" s="227">
        <v>7</v>
      </c>
      <c r="C23" s="227" t="s">
        <v>39</v>
      </c>
      <c r="D23" s="28">
        <v>30129952</v>
      </c>
      <c r="E23" s="247" t="s">
        <v>1250</v>
      </c>
      <c r="F23" s="247" t="s">
        <v>54</v>
      </c>
      <c r="G23" s="229" t="s">
        <v>1237</v>
      </c>
      <c r="H23" s="247" t="s">
        <v>1251</v>
      </c>
      <c r="I23" s="247" t="s">
        <v>57</v>
      </c>
      <c r="J23" s="248">
        <v>2525528</v>
      </c>
      <c r="K23" s="248">
        <v>2225816</v>
      </c>
      <c r="L23" s="248">
        <f t="shared" si="0"/>
        <v>299712</v>
      </c>
      <c r="M23" s="249"/>
      <c r="N23" s="249">
        <v>164006.09000000003</v>
      </c>
      <c r="O23" s="249"/>
      <c r="P23" s="249"/>
      <c r="Q23" s="249"/>
      <c r="R23" s="249"/>
      <c r="S23" s="249"/>
      <c r="T23" s="249"/>
      <c r="U23" s="249"/>
      <c r="V23" s="249"/>
      <c r="W23" s="249"/>
      <c r="X23" s="249"/>
      <c r="Y23" s="249">
        <f t="shared" si="1"/>
        <v>164006.09000000003</v>
      </c>
      <c r="Z23" s="249">
        <v>299712</v>
      </c>
      <c r="AA23" s="249" t="s">
        <v>1239</v>
      </c>
      <c r="AB23" s="250">
        <v>44216</v>
      </c>
      <c r="AC23" s="251">
        <v>44225</v>
      </c>
      <c r="AD23" s="249"/>
      <c r="AE23" s="249"/>
      <c r="AF23" s="250"/>
      <c r="AG23" s="250"/>
      <c r="AH23" s="249"/>
      <c r="AI23" s="249"/>
      <c r="AJ23" s="250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>
        <v>299712</v>
      </c>
      <c r="AU23" s="249">
        <f t="shared" si="2"/>
        <v>135705.90999999997</v>
      </c>
      <c r="AV23" s="269">
        <f t="shared" si="3"/>
        <v>299712</v>
      </c>
      <c r="AW23" s="269">
        <f t="shared" si="4"/>
        <v>0</v>
      </c>
    </row>
    <row r="24" spans="2:49" s="140" customFormat="1" ht="22.5" x14ac:dyDescent="0.25">
      <c r="B24" s="227">
        <v>8</v>
      </c>
      <c r="C24" s="227" t="s">
        <v>39</v>
      </c>
      <c r="D24" s="28">
        <v>30480266</v>
      </c>
      <c r="E24" s="247" t="s">
        <v>1252</v>
      </c>
      <c r="F24" s="247" t="s">
        <v>366</v>
      </c>
      <c r="G24" s="229" t="s">
        <v>1237</v>
      </c>
      <c r="H24" s="247" t="s">
        <v>93</v>
      </c>
      <c r="I24" s="247" t="s">
        <v>57</v>
      </c>
      <c r="J24" s="248">
        <v>182653</v>
      </c>
      <c r="K24" s="248">
        <v>156178</v>
      </c>
      <c r="L24" s="248">
        <f t="shared" si="0"/>
        <v>26475</v>
      </c>
      <c r="M24" s="249"/>
      <c r="N24" s="249">
        <v>26475</v>
      </c>
      <c r="O24" s="249"/>
      <c r="P24" s="249"/>
      <c r="Q24" s="249"/>
      <c r="R24" s="249"/>
      <c r="S24" s="249"/>
      <c r="T24" s="249"/>
      <c r="U24" s="249"/>
      <c r="V24" s="249"/>
      <c r="W24" s="249"/>
      <c r="X24" s="249"/>
      <c r="Y24" s="249">
        <f t="shared" si="1"/>
        <v>26475</v>
      </c>
      <c r="Z24" s="249">
        <v>26475</v>
      </c>
      <c r="AA24" s="249" t="s">
        <v>1239</v>
      </c>
      <c r="AB24" s="250">
        <v>44216</v>
      </c>
      <c r="AC24" s="251">
        <v>44225</v>
      </c>
      <c r="AD24" s="249"/>
      <c r="AE24" s="249"/>
      <c r="AF24" s="250"/>
      <c r="AG24" s="250"/>
      <c r="AH24" s="249"/>
      <c r="AI24" s="249"/>
      <c r="AJ24" s="250"/>
      <c r="AK24" s="249"/>
      <c r="AL24" s="249"/>
      <c r="AM24" s="249"/>
      <c r="AN24" s="249"/>
      <c r="AO24" s="249"/>
      <c r="AP24" s="249"/>
      <c r="AQ24" s="249"/>
      <c r="AR24" s="249"/>
      <c r="AS24" s="249"/>
      <c r="AT24" s="249">
        <v>26475</v>
      </c>
      <c r="AU24" s="249">
        <f t="shared" si="2"/>
        <v>0</v>
      </c>
      <c r="AV24" s="269">
        <f t="shared" si="3"/>
        <v>26475</v>
      </c>
      <c r="AW24" s="269">
        <f t="shared" si="4"/>
        <v>0</v>
      </c>
    </row>
    <row r="25" spans="2:49" s="140" customFormat="1" ht="22.5" x14ac:dyDescent="0.25">
      <c r="B25" s="227">
        <v>9</v>
      </c>
      <c r="C25" s="227" t="s">
        <v>39</v>
      </c>
      <c r="D25" s="28">
        <v>30453472</v>
      </c>
      <c r="E25" s="247" t="s">
        <v>1253</v>
      </c>
      <c r="F25" s="247" t="s">
        <v>54</v>
      </c>
      <c r="G25" s="229" t="s">
        <v>1237</v>
      </c>
      <c r="H25" s="247" t="s">
        <v>1254</v>
      </c>
      <c r="I25" s="247" t="s">
        <v>57</v>
      </c>
      <c r="J25" s="248">
        <v>3425131</v>
      </c>
      <c r="K25" s="248">
        <v>2672181</v>
      </c>
      <c r="L25" s="248">
        <f t="shared" si="0"/>
        <v>752950</v>
      </c>
      <c r="M25" s="249">
        <v>2052</v>
      </c>
      <c r="N25" s="249"/>
      <c r="O25" s="249"/>
      <c r="P25" s="249"/>
      <c r="Q25" s="249"/>
      <c r="R25" s="249"/>
      <c r="S25" s="249"/>
      <c r="T25" s="249"/>
      <c r="U25" s="249"/>
      <c r="V25" s="249"/>
      <c r="W25" s="249"/>
      <c r="X25" s="249"/>
      <c r="Y25" s="249">
        <f t="shared" si="1"/>
        <v>2052</v>
      </c>
      <c r="Z25" s="249">
        <v>751843</v>
      </c>
      <c r="AA25" s="249" t="s">
        <v>1239</v>
      </c>
      <c r="AB25" s="250">
        <v>44216</v>
      </c>
      <c r="AC25" s="251">
        <v>44225</v>
      </c>
      <c r="AD25" s="249"/>
      <c r="AE25" s="249"/>
      <c r="AF25" s="250"/>
      <c r="AG25" s="250"/>
      <c r="AH25" s="249"/>
      <c r="AI25" s="249"/>
      <c r="AJ25" s="250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>
        <v>751843</v>
      </c>
      <c r="AU25" s="249">
        <f t="shared" si="2"/>
        <v>749791</v>
      </c>
      <c r="AV25" s="269">
        <f t="shared" si="3"/>
        <v>751843</v>
      </c>
      <c r="AW25" s="269">
        <f t="shared" si="4"/>
        <v>0</v>
      </c>
    </row>
    <row r="26" spans="2:49" s="140" customFormat="1" x14ac:dyDescent="0.25">
      <c r="B26" s="227">
        <v>10</v>
      </c>
      <c r="C26" s="227" t="s">
        <v>39</v>
      </c>
      <c r="D26" s="28">
        <v>40000834</v>
      </c>
      <c r="E26" s="247" t="s">
        <v>1255</v>
      </c>
      <c r="F26" s="247" t="s">
        <v>1256</v>
      </c>
      <c r="G26" s="229" t="s">
        <v>1237</v>
      </c>
      <c r="H26" s="247" t="s">
        <v>1257</v>
      </c>
      <c r="I26" s="247" t="s">
        <v>57</v>
      </c>
      <c r="J26" s="248">
        <v>98881</v>
      </c>
      <c r="K26" s="248">
        <v>79861</v>
      </c>
      <c r="L26" s="248">
        <f t="shared" si="0"/>
        <v>19020</v>
      </c>
      <c r="M26" s="249"/>
      <c r="N26" s="249"/>
      <c r="O26" s="249"/>
      <c r="P26" s="249"/>
      <c r="Q26" s="249"/>
      <c r="R26" s="249"/>
      <c r="S26" s="249"/>
      <c r="T26" s="249"/>
      <c r="U26" s="249"/>
      <c r="V26" s="249"/>
      <c r="W26" s="249"/>
      <c r="X26" s="249"/>
      <c r="Y26" s="249">
        <f t="shared" si="1"/>
        <v>0</v>
      </c>
      <c r="Z26" s="249">
        <v>19020</v>
      </c>
      <c r="AA26" s="249" t="s">
        <v>1239</v>
      </c>
      <c r="AB26" s="250">
        <v>44216</v>
      </c>
      <c r="AC26" s="251">
        <v>44225</v>
      </c>
      <c r="AD26" s="249"/>
      <c r="AE26" s="249"/>
      <c r="AF26" s="250"/>
      <c r="AG26" s="250"/>
      <c r="AH26" s="249"/>
      <c r="AI26" s="249"/>
      <c r="AJ26" s="250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>
        <v>19020</v>
      </c>
      <c r="AU26" s="249">
        <f t="shared" si="2"/>
        <v>19020</v>
      </c>
      <c r="AV26" s="269">
        <f t="shared" si="3"/>
        <v>19020</v>
      </c>
      <c r="AW26" s="269">
        <f t="shared" si="4"/>
        <v>0</v>
      </c>
    </row>
    <row r="27" spans="2:49" s="140" customFormat="1" ht="22.5" x14ac:dyDescent="0.25">
      <c r="B27" s="227">
        <v>11</v>
      </c>
      <c r="C27" s="227" t="s">
        <v>39</v>
      </c>
      <c r="D27" s="28">
        <v>40001982</v>
      </c>
      <c r="E27" s="247" t="s">
        <v>1258</v>
      </c>
      <c r="F27" s="247" t="s">
        <v>54</v>
      </c>
      <c r="G27" s="229" t="s">
        <v>1237</v>
      </c>
      <c r="H27" s="247" t="s">
        <v>1237</v>
      </c>
      <c r="I27" s="247" t="s">
        <v>57</v>
      </c>
      <c r="J27" s="248">
        <v>2997357</v>
      </c>
      <c r="K27" s="248">
        <v>1257402</v>
      </c>
      <c r="L27" s="248">
        <f t="shared" si="0"/>
        <v>1739955</v>
      </c>
      <c r="M27" s="249">
        <v>17634.953000000001</v>
      </c>
      <c r="N27" s="249">
        <v>530913.59100000001</v>
      </c>
      <c r="O27" s="249"/>
      <c r="P27" s="249"/>
      <c r="Q27" s="249"/>
      <c r="R27" s="249"/>
      <c r="S27" s="249"/>
      <c r="T27" s="249"/>
      <c r="U27" s="249"/>
      <c r="V27" s="249"/>
      <c r="W27" s="249"/>
      <c r="X27" s="249"/>
      <c r="Y27" s="249">
        <f t="shared" si="1"/>
        <v>548548.54399999999</v>
      </c>
      <c r="Z27" s="249">
        <v>1739955</v>
      </c>
      <c r="AA27" s="249" t="s">
        <v>1239</v>
      </c>
      <c r="AB27" s="250">
        <v>44216</v>
      </c>
      <c r="AC27" s="251">
        <v>44225</v>
      </c>
      <c r="AD27" s="249"/>
      <c r="AE27" s="249"/>
      <c r="AF27" s="250"/>
      <c r="AG27" s="250"/>
      <c r="AH27" s="249"/>
      <c r="AI27" s="249"/>
      <c r="AJ27" s="250"/>
      <c r="AK27" s="249"/>
      <c r="AL27" s="249"/>
      <c r="AM27" s="249"/>
      <c r="AN27" s="249"/>
      <c r="AO27" s="249"/>
      <c r="AP27" s="249"/>
      <c r="AQ27" s="249"/>
      <c r="AR27" s="249"/>
      <c r="AS27" s="249"/>
      <c r="AT27" s="249">
        <v>1739955</v>
      </c>
      <c r="AU27" s="249">
        <f t="shared" si="2"/>
        <v>1191406.456</v>
      </c>
      <c r="AV27" s="269">
        <f t="shared" si="3"/>
        <v>1739955</v>
      </c>
      <c r="AW27" s="269">
        <f t="shared" si="4"/>
        <v>0</v>
      </c>
    </row>
    <row r="28" spans="2:49" s="140" customFormat="1" x14ac:dyDescent="0.25">
      <c r="B28" s="227">
        <v>12</v>
      </c>
      <c r="C28" s="227" t="s">
        <v>39</v>
      </c>
      <c r="D28" s="28">
        <v>30244322</v>
      </c>
      <c r="E28" s="247" t="s">
        <v>1259</v>
      </c>
      <c r="F28" s="247" t="s">
        <v>54</v>
      </c>
      <c r="G28" s="229" t="s">
        <v>1237</v>
      </c>
      <c r="H28" s="247" t="s">
        <v>1260</v>
      </c>
      <c r="I28" s="247" t="s">
        <v>57</v>
      </c>
      <c r="J28" s="248">
        <v>675648</v>
      </c>
      <c r="K28" s="248">
        <v>288606</v>
      </c>
      <c r="L28" s="248">
        <f t="shared" si="0"/>
        <v>387042</v>
      </c>
      <c r="M28" s="249">
        <v>64741.338000000003</v>
      </c>
      <c r="N28" s="249">
        <v>1759.5840000000001</v>
      </c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>
        <f t="shared" si="1"/>
        <v>66500.922000000006</v>
      </c>
      <c r="Z28" s="249">
        <v>385963</v>
      </c>
      <c r="AA28" s="249" t="s">
        <v>1239</v>
      </c>
      <c r="AB28" s="250">
        <v>44216</v>
      </c>
      <c r="AC28" s="251">
        <v>44225</v>
      </c>
      <c r="AD28" s="249"/>
      <c r="AE28" s="249"/>
      <c r="AF28" s="250"/>
      <c r="AG28" s="250"/>
      <c r="AH28" s="249"/>
      <c r="AI28" s="249"/>
      <c r="AJ28" s="250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>
        <v>385963</v>
      </c>
      <c r="AU28" s="249">
        <f t="shared" si="2"/>
        <v>319462.07799999998</v>
      </c>
      <c r="AV28" s="269">
        <f t="shared" si="3"/>
        <v>385963</v>
      </c>
      <c r="AW28" s="269">
        <f t="shared" si="4"/>
        <v>0</v>
      </c>
    </row>
    <row r="29" spans="2:49" s="140" customFormat="1" ht="22.5" x14ac:dyDescent="0.25">
      <c r="B29" s="227">
        <v>13</v>
      </c>
      <c r="C29" s="227" t="s">
        <v>39</v>
      </c>
      <c r="D29" s="28">
        <v>40000335</v>
      </c>
      <c r="E29" s="247" t="s">
        <v>1261</v>
      </c>
      <c r="F29" s="247" t="s">
        <v>54</v>
      </c>
      <c r="G29" s="229" t="s">
        <v>1237</v>
      </c>
      <c r="H29" s="247" t="s">
        <v>1262</v>
      </c>
      <c r="I29" s="247" t="s">
        <v>57</v>
      </c>
      <c r="J29" s="248">
        <v>627082</v>
      </c>
      <c r="K29" s="248">
        <v>421822</v>
      </c>
      <c r="L29" s="248">
        <f t="shared" si="0"/>
        <v>205260</v>
      </c>
      <c r="M29" s="249"/>
      <c r="N29" s="249"/>
      <c r="O29" s="249">
        <v>44475.321000000004</v>
      </c>
      <c r="P29" s="249"/>
      <c r="Q29" s="249"/>
      <c r="R29" s="249"/>
      <c r="S29" s="249"/>
      <c r="T29" s="249"/>
      <c r="U29" s="249"/>
      <c r="V29" s="249"/>
      <c r="W29" s="249"/>
      <c r="X29" s="249"/>
      <c r="Y29" s="249">
        <f t="shared" si="1"/>
        <v>44475.321000000004</v>
      </c>
      <c r="Z29" s="249">
        <v>202560</v>
      </c>
      <c r="AA29" s="249" t="s">
        <v>1239</v>
      </c>
      <c r="AB29" s="250">
        <v>44216</v>
      </c>
      <c r="AC29" s="251">
        <v>44225</v>
      </c>
      <c r="AD29" s="249"/>
      <c r="AE29" s="249"/>
      <c r="AF29" s="250"/>
      <c r="AG29" s="250"/>
      <c r="AH29" s="249"/>
      <c r="AI29" s="249"/>
      <c r="AJ29" s="250"/>
      <c r="AK29" s="249"/>
      <c r="AL29" s="249"/>
      <c r="AM29" s="249"/>
      <c r="AN29" s="249"/>
      <c r="AO29" s="249"/>
      <c r="AP29" s="249"/>
      <c r="AQ29" s="249"/>
      <c r="AR29" s="249"/>
      <c r="AS29" s="249"/>
      <c r="AT29" s="249">
        <v>202560</v>
      </c>
      <c r="AU29" s="249">
        <f t="shared" si="2"/>
        <v>158084.679</v>
      </c>
      <c r="AV29" s="269">
        <f t="shared" si="3"/>
        <v>202560</v>
      </c>
      <c r="AW29" s="269">
        <f t="shared" si="4"/>
        <v>0</v>
      </c>
    </row>
    <row r="30" spans="2:49" s="140" customFormat="1" x14ac:dyDescent="0.25">
      <c r="B30" s="227">
        <v>14</v>
      </c>
      <c r="C30" s="227" t="s">
        <v>39</v>
      </c>
      <c r="D30" s="28">
        <v>30134815</v>
      </c>
      <c r="E30" s="247" t="s">
        <v>1263</v>
      </c>
      <c r="F30" s="247" t="s">
        <v>54</v>
      </c>
      <c r="G30" s="229" t="s">
        <v>1237</v>
      </c>
      <c r="H30" s="247" t="s">
        <v>1242</v>
      </c>
      <c r="I30" s="247" t="s">
        <v>57</v>
      </c>
      <c r="J30" s="248">
        <v>306300</v>
      </c>
      <c r="K30" s="248">
        <v>160531</v>
      </c>
      <c r="L30" s="248">
        <f t="shared" si="0"/>
        <v>145769</v>
      </c>
      <c r="M30" s="249">
        <v>79379.148000000001</v>
      </c>
      <c r="N30" s="249">
        <v>30023.366999999998</v>
      </c>
      <c r="O30" s="249"/>
      <c r="P30" s="249"/>
      <c r="Q30" s="249"/>
      <c r="R30" s="249"/>
      <c r="S30" s="249"/>
      <c r="T30" s="249"/>
      <c r="U30" s="249"/>
      <c r="V30" s="249"/>
      <c r="W30" s="249"/>
      <c r="X30" s="249"/>
      <c r="Y30" s="249">
        <f t="shared" si="1"/>
        <v>109402.515</v>
      </c>
      <c r="Z30" s="249">
        <v>145769</v>
      </c>
      <c r="AA30" s="249" t="s">
        <v>1239</v>
      </c>
      <c r="AB30" s="250">
        <v>44216</v>
      </c>
      <c r="AC30" s="251">
        <v>44225</v>
      </c>
      <c r="AD30" s="249"/>
      <c r="AE30" s="249"/>
      <c r="AF30" s="250"/>
      <c r="AG30" s="250"/>
      <c r="AH30" s="249"/>
      <c r="AI30" s="249"/>
      <c r="AJ30" s="250"/>
      <c r="AK30" s="249"/>
      <c r="AL30" s="249"/>
      <c r="AM30" s="249"/>
      <c r="AN30" s="249"/>
      <c r="AO30" s="249"/>
      <c r="AP30" s="249"/>
      <c r="AQ30" s="249"/>
      <c r="AR30" s="249"/>
      <c r="AS30" s="249"/>
      <c r="AT30" s="249">
        <v>145769</v>
      </c>
      <c r="AU30" s="249">
        <f t="shared" si="2"/>
        <v>36366.485000000001</v>
      </c>
      <c r="AV30" s="269">
        <f t="shared" si="3"/>
        <v>145769</v>
      </c>
      <c r="AW30" s="269">
        <f t="shared" si="4"/>
        <v>0</v>
      </c>
    </row>
    <row r="31" spans="2:49" s="140" customFormat="1" x14ac:dyDescent="0.25">
      <c r="B31" s="227">
        <v>15</v>
      </c>
      <c r="C31" s="227" t="s">
        <v>39</v>
      </c>
      <c r="D31" s="28">
        <v>40000111</v>
      </c>
      <c r="E31" s="247" t="s">
        <v>1264</v>
      </c>
      <c r="F31" s="247" t="s">
        <v>54</v>
      </c>
      <c r="G31" s="229" t="s">
        <v>1237</v>
      </c>
      <c r="H31" s="247" t="s">
        <v>1242</v>
      </c>
      <c r="I31" s="247" t="s">
        <v>57</v>
      </c>
      <c r="J31" s="248">
        <v>199839</v>
      </c>
      <c r="K31" s="248">
        <v>104264</v>
      </c>
      <c r="L31" s="248">
        <f t="shared" si="0"/>
        <v>95575</v>
      </c>
      <c r="M31" s="249"/>
      <c r="N31" s="249"/>
      <c r="O31" s="249"/>
      <c r="P31" s="249"/>
      <c r="Q31" s="249"/>
      <c r="R31" s="249"/>
      <c r="S31" s="249"/>
      <c r="T31" s="249"/>
      <c r="U31" s="249"/>
      <c r="V31" s="249"/>
      <c r="W31" s="249"/>
      <c r="X31" s="249"/>
      <c r="Y31" s="249">
        <f t="shared" si="1"/>
        <v>0</v>
      </c>
      <c r="Z31" s="249">
        <v>88409</v>
      </c>
      <c r="AA31" s="249" t="s">
        <v>1239</v>
      </c>
      <c r="AB31" s="250">
        <v>44216</v>
      </c>
      <c r="AC31" s="251">
        <v>44225</v>
      </c>
      <c r="AD31" s="249"/>
      <c r="AE31" s="249"/>
      <c r="AF31" s="250"/>
      <c r="AG31" s="250"/>
      <c r="AH31" s="249"/>
      <c r="AI31" s="249"/>
      <c r="AJ31" s="250"/>
      <c r="AK31" s="249"/>
      <c r="AL31" s="249"/>
      <c r="AM31" s="249"/>
      <c r="AN31" s="249"/>
      <c r="AO31" s="249"/>
      <c r="AP31" s="249"/>
      <c r="AQ31" s="249"/>
      <c r="AR31" s="249"/>
      <c r="AS31" s="249"/>
      <c r="AT31" s="249">
        <v>88409</v>
      </c>
      <c r="AU31" s="249">
        <f t="shared" si="2"/>
        <v>88409</v>
      </c>
      <c r="AV31" s="269">
        <f t="shared" si="3"/>
        <v>88409</v>
      </c>
      <c r="AW31" s="269">
        <f t="shared" si="4"/>
        <v>0</v>
      </c>
    </row>
    <row r="32" spans="2:49" s="140" customFormat="1" x14ac:dyDescent="0.25">
      <c r="B32" s="227">
        <v>16</v>
      </c>
      <c r="C32" s="227" t="s">
        <v>39</v>
      </c>
      <c r="D32" s="28">
        <v>30473436</v>
      </c>
      <c r="E32" s="247" t="s">
        <v>1265</v>
      </c>
      <c r="F32" s="247" t="s">
        <v>54</v>
      </c>
      <c r="G32" s="229" t="s">
        <v>1237</v>
      </c>
      <c r="H32" s="247" t="s">
        <v>1242</v>
      </c>
      <c r="I32" s="247" t="s">
        <v>57</v>
      </c>
      <c r="J32" s="248">
        <v>63498</v>
      </c>
      <c r="K32" s="248">
        <v>46485</v>
      </c>
      <c r="L32" s="248">
        <f t="shared" si="0"/>
        <v>17013</v>
      </c>
      <c r="M32" s="249"/>
      <c r="N32" s="249"/>
      <c r="O32" s="249">
        <v>17012.834999999999</v>
      </c>
      <c r="P32" s="249"/>
      <c r="Q32" s="249"/>
      <c r="R32" s="249"/>
      <c r="S32" s="249"/>
      <c r="T32" s="249"/>
      <c r="U32" s="249"/>
      <c r="V32" s="249"/>
      <c r="W32" s="249"/>
      <c r="X32" s="249"/>
      <c r="Y32" s="249">
        <f t="shared" si="1"/>
        <v>17012.834999999999</v>
      </c>
      <c r="Z32" s="249">
        <v>17013</v>
      </c>
      <c r="AA32" s="249" t="s">
        <v>1239</v>
      </c>
      <c r="AB32" s="250">
        <v>44216</v>
      </c>
      <c r="AC32" s="251">
        <v>44225</v>
      </c>
      <c r="AD32" s="249"/>
      <c r="AE32" s="249"/>
      <c r="AF32" s="250"/>
      <c r="AG32" s="250"/>
      <c r="AH32" s="249"/>
      <c r="AI32" s="249"/>
      <c r="AJ32" s="250"/>
      <c r="AK32" s="249"/>
      <c r="AL32" s="249"/>
      <c r="AM32" s="249"/>
      <c r="AN32" s="249"/>
      <c r="AO32" s="249"/>
      <c r="AP32" s="249"/>
      <c r="AQ32" s="249"/>
      <c r="AR32" s="249"/>
      <c r="AS32" s="249"/>
      <c r="AT32" s="249">
        <v>17013</v>
      </c>
      <c r="AU32" s="249">
        <f t="shared" si="2"/>
        <v>0.16500000000087311</v>
      </c>
      <c r="AV32" s="269">
        <f t="shared" si="3"/>
        <v>17013</v>
      </c>
      <c r="AW32" s="269">
        <f t="shared" si="4"/>
        <v>0</v>
      </c>
    </row>
    <row r="33" spans="2:49" s="140" customFormat="1" ht="22.5" x14ac:dyDescent="0.25">
      <c r="B33" s="227">
        <v>17</v>
      </c>
      <c r="C33" s="227" t="s">
        <v>39</v>
      </c>
      <c r="D33" s="28">
        <v>30484334</v>
      </c>
      <c r="E33" s="247" t="s">
        <v>1266</v>
      </c>
      <c r="F33" s="247" t="s">
        <v>54</v>
      </c>
      <c r="G33" s="229" t="s">
        <v>1237</v>
      </c>
      <c r="H33" s="247" t="s">
        <v>1262</v>
      </c>
      <c r="I33" s="247" t="s">
        <v>57</v>
      </c>
      <c r="J33" s="248">
        <v>1486168</v>
      </c>
      <c r="K33" s="248">
        <v>1228192</v>
      </c>
      <c r="L33" s="248">
        <f t="shared" si="0"/>
        <v>257976</v>
      </c>
      <c r="M33" s="249"/>
      <c r="N33" s="249">
        <v>37847.01</v>
      </c>
      <c r="O33" s="249"/>
      <c r="P33" s="249"/>
      <c r="Q33" s="249"/>
      <c r="R33" s="249"/>
      <c r="S33" s="249"/>
      <c r="T33" s="249"/>
      <c r="U33" s="249"/>
      <c r="V33" s="249"/>
      <c r="W33" s="249"/>
      <c r="X33" s="249"/>
      <c r="Y33" s="249">
        <f t="shared" si="1"/>
        <v>37847.01</v>
      </c>
      <c r="Z33" s="249">
        <v>256869</v>
      </c>
      <c r="AA33" s="249" t="s">
        <v>1239</v>
      </c>
      <c r="AB33" s="250">
        <v>44216</v>
      </c>
      <c r="AC33" s="251">
        <v>44225</v>
      </c>
      <c r="AD33" s="249"/>
      <c r="AE33" s="249"/>
      <c r="AF33" s="250"/>
      <c r="AG33" s="250"/>
      <c r="AH33" s="249"/>
      <c r="AI33" s="249"/>
      <c r="AJ33" s="250"/>
      <c r="AK33" s="249"/>
      <c r="AL33" s="249"/>
      <c r="AM33" s="249"/>
      <c r="AN33" s="249"/>
      <c r="AO33" s="249"/>
      <c r="AP33" s="249"/>
      <c r="AQ33" s="249"/>
      <c r="AR33" s="249"/>
      <c r="AS33" s="249"/>
      <c r="AT33" s="249">
        <v>256869</v>
      </c>
      <c r="AU33" s="249">
        <f t="shared" si="2"/>
        <v>219021.99</v>
      </c>
      <c r="AV33" s="269">
        <f t="shared" si="3"/>
        <v>256869</v>
      </c>
      <c r="AW33" s="269">
        <f t="shared" si="4"/>
        <v>0</v>
      </c>
    </row>
    <row r="34" spans="2:49" s="140" customFormat="1" ht="22.5" x14ac:dyDescent="0.25">
      <c r="B34" s="227">
        <v>18</v>
      </c>
      <c r="C34" s="227" t="s">
        <v>39</v>
      </c>
      <c r="D34" s="28">
        <v>30477089</v>
      </c>
      <c r="E34" s="247" t="s">
        <v>1267</v>
      </c>
      <c r="F34" s="247" t="s">
        <v>54</v>
      </c>
      <c r="G34" s="229" t="s">
        <v>1237</v>
      </c>
      <c r="H34" s="247" t="s">
        <v>1247</v>
      </c>
      <c r="I34" s="247" t="s">
        <v>57</v>
      </c>
      <c r="J34" s="248">
        <v>946374</v>
      </c>
      <c r="K34" s="248">
        <v>851976</v>
      </c>
      <c r="L34" s="248">
        <f t="shared" si="0"/>
        <v>94398</v>
      </c>
      <c r="M34" s="249"/>
      <c r="N34" s="249"/>
      <c r="O34" s="249"/>
      <c r="P34" s="249"/>
      <c r="Q34" s="249"/>
      <c r="R34" s="249"/>
      <c r="S34" s="249"/>
      <c r="T34" s="249"/>
      <c r="U34" s="249"/>
      <c r="V34" s="249"/>
      <c r="W34" s="249"/>
      <c r="X34" s="249"/>
      <c r="Y34" s="249">
        <f t="shared" si="1"/>
        <v>0</v>
      </c>
      <c r="Z34" s="249">
        <v>93351</v>
      </c>
      <c r="AA34" s="249" t="s">
        <v>1239</v>
      </c>
      <c r="AB34" s="250">
        <v>44216</v>
      </c>
      <c r="AC34" s="251">
        <v>44225</v>
      </c>
      <c r="AD34" s="249"/>
      <c r="AE34" s="249"/>
      <c r="AF34" s="250"/>
      <c r="AG34" s="250"/>
      <c r="AH34" s="249"/>
      <c r="AI34" s="249"/>
      <c r="AJ34" s="250"/>
      <c r="AK34" s="249"/>
      <c r="AL34" s="249"/>
      <c r="AM34" s="249"/>
      <c r="AN34" s="249"/>
      <c r="AO34" s="249"/>
      <c r="AP34" s="249"/>
      <c r="AQ34" s="249"/>
      <c r="AR34" s="249"/>
      <c r="AS34" s="249"/>
      <c r="AT34" s="249">
        <v>93351</v>
      </c>
      <c r="AU34" s="249">
        <f t="shared" si="2"/>
        <v>93351</v>
      </c>
      <c r="AV34" s="269">
        <f t="shared" si="3"/>
        <v>93351</v>
      </c>
      <c r="AW34" s="269">
        <f t="shared" si="4"/>
        <v>0</v>
      </c>
    </row>
    <row r="35" spans="2:49" s="140" customFormat="1" ht="22.5" x14ac:dyDescent="0.25">
      <c r="B35" s="227">
        <v>19</v>
      </c>
      <c r="C35" s="227" t="s">
        <v>39</v>
      </c>
      <c r="D35" s="28">
        <v>40009356</v>
      </c>
      <c r="E35" s="247" t="s">
        <v>1268</v>
      </c>
      <c r="F35" s="247" t="s">
        <v>54</v>
      </c>
      <c r="G35" s="229" t="s">
        <v>1237</v>
      </c>
      <c r="H35" s="247" t="s">
        <v>1242</v>
      </c>
      <c r="I35" s="247" t="s">
        <v>57</v>
      </c>
      <c r="J35" s="248">
        <v>984084</v>
      </c>
      <c r="K35" s="248">
        <v>203999</v>
      </c>
      <c r="L35" s="248">
        <f t="shared" si="0"/>
        <v>780085</v>
      </c>
      <c r="M35" s="249"/>
      <c r="N35" s="249">
        <v>78003.323000000004</v>
      </c>
      <c r="O35" s="249"/>
      <c r="P35" s="249"/>
      <c r="Q35" s="249"/>
      <c r="R35" s="249"/>
      <c r="S35" s="249"/>
      <c r="T35" s="249"/>
      <c r="U35" s="249"/>
      <c r="V35" s="249"/>
      <c r="W35" s="249"/>
      <c r="X35" s="249"/>
      <c r="Y35" s="249">
        <f t="shared" si="1"/>
        <v>78003.323000000004</v>
      </c>
      <c r="Z35" s="249">
        <v>763825</v>
      </c>
      <c r="AA35" s="249" t="s">
        <v>1239</v>
      </c>
      <c r="AB35" s="250">
        <v>44216</v>
      </c>
      <c r="AC35" s="251">
        <v>44225</v>
      </c>
      <c r="AD35" s="249"/>
      <c r="AE35" s="249"/>
      <c r="AF35" s="250"/>
      <c r="AG35" s="250"/>
      <c r="AH35" s="249"/>
      <c r="AI35" s="249"/>
      <c r="AJ35" s="250"/>
      <c r="AK35" s="249"/>
      <c r="AL35" s="249"/>
      <c r="AM35" s="249"/>
      <c r="AN35" s="249"/>
      <c r="AO35" s="249"/>
      <c r="AP35" s="249"/>
      <c r="AQ35" s="249"/>
      <c r="AR35" s="249"/>
      <c r="AS35" s="249"/>
      <c r="AT35" s="249">
        <v>763825</v>
      </c>
      <c r="AU35" s="249">
        <f t="shared" si="2"/>
        <v>685821.67700000003</v>
      </c>
      <c r="AV35" s="269">
        <f t="shared" si="3"/>
        <v>763825</v>
      </c>
      <c r="AW35" s="269">
        <f t="shared" si="4"/>
        <v>0</v>
      </c>
    </row>
    <row r="36" spans="2:49" s="140" customFormat="1" ht="22.5" x14ac:dyDescent="0.25">
      <c r="B36" s="227">
        <v>20</v>
      </c>
      <c r="C36" s="227" t="s">
        <v>39</v>
      </c>
      <c r="D36" s="28">
        <v>40006121</v>
      </c>
      <c r="E36" s="247" t="s">
        <v>1269</v>
      </c>
      <c r="F36" s="247" t="s">
        <v>54</v>
      </c>
      <c r="G36" s="229" t="s">
        <v>1237</v>
      </c>
      <c r="H36" s="247" t="s">
        <v>1242</v>
      </c>
      <c r="I36" s="247" t="s">
        <v>57</v>
      </c>
      <c r="J36" s="248">
        <v>120780</v>
      </c>
      <c r="K36" s="248">
        <v>109394</v>
      </c>
      <c r="L36" s="248">
        <f t="shared" si="0"/>
        <v>11386</v>
      </c>
      <c r="M36" s="249"/>
      <c r="N36" s="249"/>
      <c r="O36" s="249"/>
      <c r="P36" s="249"/>
      <c r="Q36" s="249"/>
      <c r="R36" s="249"/>
      <c r="S36" s="249"/>
      <c r="T36" s="249"/>
      <c r="U36" s="249"/>
      <c r="V36" s="249"/>
      <c r="W36" s="249"/>
      <c r="X36" s="249"/>
      <c r="Y36" s="249">
        <f t="shared" si="1"/>
        <v>0</v>
      </c>
      <c r="Z36" s="249">
        <v>10739</v>
      </c>
      <c r="AA36" s="249" t="s">
        <v>1239</v>
      </c>
      <c r="AB36" s="250">
        <v>44216</v>
      </c>
      <c r="AC36" s="251">
        <v>44225</v>
      </c>
      <c r="AD36" s="249"/>
      <c r="AE36" s="249"/>
      <c r="AF36" s="250"/>
      <c r="AG36" s="250"/>
      <c r="AH36" s="249"/>
      <c r="AI36" s="249"/>
      <c r="AJ36" s="250"/>
      <c r="AK36" s="249"/>
      <c r="AL36" s="249"/>
      <c r="AM36" s="249"/>
      <c r="AN36" s="249"/>
      <c r="AO36" s="249"/>
      <c r="AP36" s="249"/>
      <c r="AQ36" s="249"/>
      <c r="AR36" s="249"/>
      <c r="AS36" s="249"/>
      <c r="AT36" s="249">
        <v>10739</v>
      </c>
      <c r="AU36" s="249">
        <f t="shared" si="2"/>
        <v>10739</v>
      </c>
      <c r="AV36" s="269">
        <f t="shared" si="3"/>
        <v>10739</v>
      </c>
      <c r="AW36" s="269">
        <f t="shared" si="4"/>
        <v>0</v>
      </c>
    </row>
    <row r="37" spans="2:49" s="140" customFormat="1" ht="22.5" x14ac:dyDescent="0.25">
      <c r="B37" s="227">
        <v>21</v>
      </c>
      <c r="C37" s="227" t="s">
        <v>39</v>
      </c>
      <c r="D37" s="28">
        <v>40008126</v>
      </c>
      <c r="E37" s="247" t="s">
        <v>1270</v>
      </c>
      <c r="F37" s="247" t="s">
        <v>54</v>
      </c>
      <c r="G37" s="229" t="s">
        <v>1237</v>
      </c>
      <c r="H37" s="247" t="s">
        <v>1242</v>
      </c>
      <c r="I37" s="247" t="s">
        <v>57</v>
      </c>
      <c r="J37" s="248">
        <v>687849</v>
      </c>
      <c r="K37" s="248">
        <v>85081</v>
      </c>
      <c r="L37" s="248">
        <f t="shared" si="0"/>
        <v>602768</v>
      </c>
      <c r="M37" s="249"/>
      <c r="N37" s="249">
        <v>52877.677000000003</v>
      </c>
      <c r="O37" s="249">
        <v>103672.681</v>
      </c>
      <c r="P37" s="249"/>
      <c r="Q37" s="249"/>
      <c r="R37" s="249"/>
      <c r="S37" s="249"/>
      <c r="T37" s="249"/>
      <c r="U37" s="249"/>
      <c r="V37" s="249"/>
      <c r="W37" s="249"/>
      <c r="X37" s="249"/>
      <c r="Y37" s="249">
        <f t="shared" si="1"/>
        <v>156550.35800000001</v>
      </c>
      <c r="Z37" s="249">
        <v>601041</v>
      </c>
      <c r="AA37" s="249" t="s">
        <v>1239</v>
      </c>
      <c r="AB37" s="250">
        <v>44216</v>
      </c>
      <c r="AC37" s="251">
        <v>44225</v>
      </c>
      <c r="AD37" s="249"/>
      <c r="AE37" s="249"/>
      <c r="AF37" s="250"/>
      <c r="AG37" s="250"/>
      <c r="AH37" s="249"/>
      <c r="AI37" s="249"/>
      <c r="AJ37" s="250"/>
      <c r="AK37" s="249"/>
      <c r="AL37" s="249"/>
      <c r="AM37" s="249"/>
      <c r="AN37" s="249"/>
      <c r="AO37" s="249"/>
      <c r="AP37" s="249"/>
      <c r="AQ37" s="249"/>
      <c r="AR37" s="249"/>
      <c r="AS37" s="249"/>
      <c r="AT37" s="249">
        <v>601041</v>
      </c>
      <c r="AU37" s="249">
        <f t="shared" si="2"/>
        <v>444490.64199999999</v>
      </c>
      <c r="AV37" s="269">
        <f t="shared" si="3"/>
        <v>601041</v>
      </c>
      <c r="AW37" s="269">
        <f t="shared" si="4"/>
        <v>0</v>
      </c>
    </row>
    <row r="38" spans="2:49" s="140" customFormat="1" x14ac:dyDescent="0.25">
      <c r="B38" s="227">
        <v>22</v>
      </c>
      <c r="C38" s="227" t="s">
        <v>39</v>
      </c>
      <c r="D38" s="28">
        <v>40008092</v>
      </c>
      <c r="E38" s="247" t="s">
        <v>1271</v>
      </c>
      <c r="F38" s="247" t="s">
        <v>54</v>
      </c>
      <c r="G38" s="229" t="s">
        <v>1237</v>
      </c>
      <c r="H38" s="247" t="s">
        <v>1272</v>
      </c>
      <c r="I38" s="247" t="s">
        <v>57</v>
      </c>
      <c r="J38" s="248">
        <v>248578</v>
      </c>
      <c r="K38" s="248">
        <v>77824</v>
      </c>
      <c r="L38" s="248">
        <f t="shared" si="0"/>
        <v>170754</v>
      </c>
      <c r="M38" s="249"/>
      <c r="N38" s="249"/>
      <c r="O38" s="249"/>
      <c r="P38" s="249"/>
      <c r="Q38" s="249"/>
      <c r="R38" s="249"/>
      <c r="S38" s="249"/>
      <c r="T38" s="249"/>
      <c r="U38" s="249"/>
      <c r="V38" s="249"/>
      <c r="W38" s="249"/>
      <c r="X38" s="249"/>
      <c r="Y38" s="249">
        <f t="shared" si="1"/>
        <v>0</v>
      </c>
      <c r="Z38" s="249">
        <v>170754</v>
      </c>
      <c r="AA38" s="249" t="s">
        <v>1239</v>
      </c>
      <c r="AB38" s="250">
        <v>44216</v>
      </c>
      <c r="AC38" s="251">
        <v>44225</v>
      </c>
      <c r="AD38" s="249"/>
      <c r="AE38" s="249"/>
      <c r="AF38" s="250"/>
      <c r="AG38" s="250"/>
      <c r="AH38" s="249"/>
      <c r="AI38" s="249"/>
      <c r="AJ38" s="250"/>
      <c r="AK38" s="249"/>
      <c r="AL38" s="249"/>
      <c r="AM38" s="249"/>
      <c r="AN38" s="249"/>
      <c r="AO38" s="249"/>
      <c r="AP38" s="249"/>
      <c r="AQ38" s="249"/>
      <c r="AR38" s="249"/>
      <c r="AS38" s="249"/>
      <c r="AT38" s="249">
        <v>170754</v>
      </c>
      <c r="AU38" s="249">
        <f t="shared" si="2"/>
        <v>170754</v>
      </c>
      <c r="AV38" s="269">
        <f t="shared" si="3"/>
        <v>170754</v>
      </c>
      <c r="AW38" s="269">
        <f t="shared" si="4"/>
        <v>0</v>
      </c>
    </row>
    <row r="39" spans="2:49" s="140" customFormat="1" ht="22.5" x14ac:dyDescent="0.25">
      <c r="B39" s="227">
        <v>23</v>
      </c>
      <c r="C39" s="227" t="s">
        <v>39</v>
      </c>
      <c r="D39" s="28">
        <v>30291122</v>
      </c>
      <c r="E39" s="247" t="s">
        <v>1273</v>
      </c>
      <c r="F39" s="247" t="s">
        <v>54</v>
      </c>
      <c r="G39" s="229" t="s">
        <v>1237</v>
      </c>
      <c r="H39" s="247" t="s">
        <v>1274</v>
      </c>
      <c r="I39" s="247" t="s">
        <v>57</v>
      </c>
      <c r="J39" s="248">
        <v>306739</v>
      </c>
      <c r="K39" s="248">
        <v>75270</v>
      </c>
      <c r="L39" s="248">
        <f t="shared" si="0"/>
        <v>231469</v>
      </c>
      <c r="M39" s="249">
        <v>22006.146000000001</v>
      </c>
      <c r="N39" s="249">
        <v>37886.618999999999</v>
      </c>
      <c r="O39" s="249"/>
      <c r="P39" s="249"/>
      <c r="Q39" s="249"/>
      <c r="R39" s="249"/>
      <c r="S39" s="249"/>
      <c r="T39" s="249"/>
      <c r="U39" s="249"/>
      <c r="V39" s="249"/>
      <c r="W39" s="249"/>
      <c r="X39" s="249"/>
      <c r="Y39" s="249">
        <f t="shared" si="1"/>
        <v>59892.764999999999</v>
      </c>
      <c r="Z39" s="249">
        <v>229162</v>
      </c>
      <c r="AA39" s="249" t="s">
        <v>1239</v>
      </c>
      <c r="AB39" s="250">
        <v>44216</v>
      </c>
      <c r="AC39" s="251">
        <v>44225</v>
      </c>
      <c r="AD39" s="249"/>
      <c r="AE39" s="249"/>
      <c r="AF39" s="250"/>
      <c r="AG39" s="250"/>
      <c r="AH39" s="249"/>
      <c r="AI39" s="249"/>
      <c r="AJ39" s="250"/>
      <c r="AK39" s="249"/>
      <c r="AL39" s="249"/>
      <c r="AM39" s="249"/>
      <c r="AN39" s="249"/>
      <c r="AO39" s="249"/>
      <c r="AP39" s="249"/>
      <c r="AQ39" s="249"/>
      <c r="AR39" s="249"/>
      <c r="AS39" s="249"/>
      <c r="AT39" s="249">
        <v>229162</v>
      </c>
      <c r="AU39" s="249">
        <f t="shared" si="2"/>
        <v>169269.23499999999</v>
      </c>
      <c r="AV39" s="269">
        <f t="shared" si="3"/>
        <v>229162</v>
      </c>
      <c r="AW39" s="269">
        <f t="shared" si="4"/>
        <v>0</v>
      </c>
    </row>
    <row r="40" spans="2:49" s="140" customFormat="1" x14ac:dyDescent="0.25">
      <c r="B40" s="227">
        <v>24</v>
      </c>
      <c r="C40" s="227" t="s">
        <v>39</v>
      </c>
      <c r="D40" s="28">
        <v>40008090</v>
      </c>
      <c r="E40" s="247" t="s">
        <v>1275</v>
      </c>
      <c r="F40" s="247" t="s">
        <v>54</v>
      </c>
      <c r="G40" s="229" t="s">
        <v>1237</v>
      </c>
      <c r="H40" s="247" t="s">
        <v>1272</v>
      </c>
      <c r="I40" s="247" t="s">
        <v>57</v>
      </c>
      <c r="J40" s="248">
        <v>173927</v>
      </c>
      <c r="K40" s="248">
        <v>41778</v>
      </c>
      <c r="L40" s="248">
        <f t="shared" si="0"/>
        <v>132149</v>
      </c>
      <c r="M40" s="249">
        <v>13812.052</v>
      </c>
      <c r="N40" s="249"/>
      <c r="O40" s="249"/>
      <c r="P40" s="249"/>
      <c r="Q40" s="249"/>
      <c r="R40" s="249"/>
      <c r="S40" s="249"/>
      <c r="T40" s="249"/>
      <c r="U40" s="249"/>
      <c r="V40" s="249"/>
      <c r="W40" s="249"/>
      <c r="X40" s="249"/>
      <c r="Y40" s="249">
        <f t="shared" si="1"/>
        <v>13812.052</v>
      </c>
      <c r="Z40" s="249">
        <v>132149</v>
      </c>
      <c r="AA40" s="249" t="s">
        <v>1239</v>
      </c>
      <c r="AB40" s="250">
        <v>44216</v>
      </c>
      <c r="AC40" s="251">
        <v>44225</v>
      </c>
      <c r="AD40" s="249"/>
      <c r="AE40" s="249"/>
      <c r="AF40" s="250"/>
      <c r="AG40" s="250"/>
      <c r="AH40" s="249"/>
      <c r="AI40" s="249"/>
      <c r="AJ40" s="250"/>
      <c r="AK40" s="249"/>
      <c r="AL40" s="249"/>
      <c r="AM40" s="249"/>
      <c r="AN40" s="249"/>
      <c r="AO40" s="249"/>
      <c r="AP40" s="249"/>
      <c r="AQ40" s="249"/>
      <c r="AR40" s="249"/>
      <c r="AS40" s="249"/>
      <c r="AT40" s="249">
        <v>132149</v>
      </c>
      <c r="AU40" s="249">
        <f t="shared" si="2"/>
        <v>118336.948</v>
      </c>
      <c r="AV40" s="269">
        <f t="shared" si="3"/>
        <v>132149</v>
      </c>
      <c r="AW40" s="269">
        <f t="shared" si="4"/>
        <v>0</v>
      </c>
    </row>
    <row r="41" spans="2:49" s="140" customFormat="1" ht="22.5" x14ac:dyDescent="0.25">
      <c r="B41" s="227">
        <v>25</v>
      </c>
      <c r="C41" s="227" t="s">
        <v>39</v>
      </c>
      <c r="D41" s="28">
        <v>30285272</v>
      </c>
      <c r="E41" s="247" t="s">
        <v>1276</v>
      </c>
      <c r="F41" s="247" t="s">
        <v>1256</v>
      </c>
      <c r="G41" s="229" t="s">
        <v>1237</v>
      </c>
      <c r="H41" s="247" t="s">
        <v>1254</v>
      </c>
      <c r="I41" s="247" t="s">
        <v>57</v>
      </c>
      <c r="J41" s="248">
        <v>200900</v>
      </c>
      <c r="K41" s="248">
        <v>40900</v>
      </c>
      <c r="L41" s="248">
        <f t="shared" si="0"/>
        <v>160000</v>
      </c>
      <c r="M41" s="249"/>
      <c r="N41" s="249"/>
      <c r="O41" s="249">
        <v>40000</v>
      </c>
      <c r="P41" s="249"/>
      <c r="Q41" s="249"/>
      <c r="R41" s="249"/>
      <c r="S41" s="249"/>
      <c r="T41" s="249"/>
      <c r="U41" s="249"/>
      <c r="V41" s="249"/>
      <c r="W41" s="249"/>
      <c r="X41" s="249"/>
      <c r="Y41" s="249">
        <f t="shared" si="1"/>
        <v>40000</v>
      </c>
      <c r="Z41" s="249">
        <v>160000</v>
      </c>
      <c r="AA41" s="249" t="s">
        <v>1239</v>
      </c>
      <c r="AB41" s="250">
        <v>44216</v>
      </c>
      <c r="AC41" s="251">
        <v>44225</v>
      </c>
      <c r="AD41" s="249"/>
      <c r="AE41" s="249"/>
      <c r="AF41" s="250"/>
      <c r="AG41" s="250"/>
      <c r="AH41" s="249"/>
      <c r="AI41" s="249"/>
      <c r="AJ41" s="250"/>
      <c r="AK41" s="249"/>
      <c r="AL41" s="249"/>
      <c r="AM41" s="249"/>
      <c r="AN41" s="249"/>
      <c r="AO41" s="249"/>
      <c r="AP41" s="249"/>
      <c r="AQ41" s="249"/>
      <c r="AR41" s="249"/>
      <c r="AS41" s="249"/>
      <c r="AT41" s="249">
        <v>160000</v>
      </c>
      <c r="AU41" s="249">
        <f t="shared" si="2"/>
        <v>120000</v>
      </c>
      <c r="AV41" s="269">
        <f t="shared" si="3"/>
        <v>160000</v>
      </c>
      <c r="AW41" s="269">
        <f t="shared" si="4"/>
        <v>0</v>
      </c>
    </row>
    <row r="42" spans="2:49" s="140" customFormat="1" x14ac:dyDescent="0.25">
      <c r="B42" s="227">
        <v>26</v>
      </c>
      <c r="C42" s="227" t="s">
        <v>39</v>
      </c>
      <c r="D42" s="28">
        <v>40008952</v>
      </c>
      <c r="E42" s="247" t="s">
        <v>1277</v>
      </c>
      <c r="F42" s="247" t="s">
        <v>54</v>
      </c>
      <c r="G42" s="229" t="s">
        <v>1237</v>
      </c>
      <c r="H42" s="247" t="s">
        <v>1274</v>
      </c>
      <c r="I42" s="247" t="s">
        <v>72</v>
      </c>
      <c r="J42" s="248">
        <v>1126260</v>
      </c>
      <c r="K42" s="248"/>
      <c r="L42" s="248">
        <f t="shared" si="0"/>
        <v>1126260</v>
      </c>
      <c r="M42" s="249"/>
      <c r="N42" s="249">
        <v>27144.548999999999</v>
      </c>
      <c r="O42" s="249"/>
      <c r="P42" s="249"/>
      <c r="Q42" s="249"/>
      <c r="R42" s="249"/>
      <c r="S42" s="249"/>
      <c r="T42" s="249"/>
      <c r="U42" s="249"/>
      <c r="V42" s="249"/>
      <c r="W42" s="249"/>
      <c r="X42" s="249"/>
      <c r="Y42" s="249">
        <f t="shared" si="1"/>
        <v>27144.548999999999</v>
      </c>
      <c r="Z42" s="249">
        <v>523512</v>
      </c>
      <c r="AA42" s="249" t="s">
        <v>1239</v>
      </c>
      <c r="AB42" s="250">
        <v>44216</v>
      </c>
      <c r="AC42" s="251">
        <v>44225</v>
      </c>
      <c r="AD42" s="249"/>
      <c r="AE42" s="249"/>
      <c r="AF42" s="250"/>
      <c r="AG42" s="250"/>
      <c r="AH42" s="249"/>
      <c r="AI42" s="249"/>
      <c r="AJ42" s="250"/>
      <c r="AK42" s="249"/>
      <c r="AL42" s="249"/>
      <c r="AM42" s="249"/>
      <c r="AN42" s="249"/>
      <c r="AO42" s="249"/>
      <c r="AP42" s="249"/>
      <c r="AQ42" s="249"/>
      <c r="AR42" s="249"/>
      <c r="AS42" s="249"/>
      <c r="AT42" s="249">
        <v>523512</v>
      </c>
      <c r="AU42" s="249">
        <f t="shared" si="2"/>
        <v>496367.451</v>
      </c>
      <c r="AV42" s="269">
        <f t="shared" si="3"/>
        <v>523512</v>
      </c>
      <c r="AW42" s="269">
        <f t="shared" si="4"/>
        <v>0</v>
      </c>
    </row>
    <row r="43" spans="2:49" s="140" customFormat="1" ht="22.5" x14ac:dyDescent="0.25">
      <c r="B43" s="227">
        <v>27</v>
      </c>
      <c r="C43" s="227" t="s">
        <v>39</v>
      </c>
      <c r="D43" s="28">
        <v>40002873</v>
      </c>
      <c r="E43" s="247" t="s">
        <v>1278</v>
      </c>
      <c r="F43" s="247" t="s">
        <v>54</v>
      </c>
      <c r="G43" s="229" t="s">
        <v>1237</v>
      </c>
      <c r="H43" s="247" t="s">
        <v>1254</v>
      </c>
      <c r="I43" s="247" t="s">
        <v>72</v>
      </c>
      <c r="J43" s="248">
        <v>599354</v>
      </c>
      <c r="K43" s="248"/>
      <c r="L43" s="248">
        <f t="shared" si="0"/>
        <v>599354</v>
      </c>
      <c r="M43" s="249"/>
      <c r="N43" s="249">
        <v>6075</v>
      </c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>
        <f t="shared" si="1"/>
        <v>6075</v>
      </c>
      <c r="Z43" s="249">
        <v>598306</v>
      </c>
      <c r="AA43" s="249" t="s">
        <v>1239</v>
      </c>
      <c r="AB43" s="250">
        <v>44216</v>
      </c>
      <c r="AC43" s="251">
        <v>44225</v>
      </c>
      <c r="AD43" s="249"/>
      <c r="AE43" s="249"/>
      <c r="AF43" s="250"/>
      <c r="AG43" s="250"/>
      <c r="AH43" s="249"/>
      <c r="AI43" s="249"/>
      <c r="AJ43" s="250"/>
      <c r="AK43" s="249"/>
      <c r="AL43" s="249"/>
      <c r="AM43" s="249"/>
      <c r="AN43" s="249"/>
      <c r="AO43" s="249"/>
      <c r="AP43" s="249"/>
      <c r="AQ43" s="249"/>
      <c r="AR43" s="249"/>
      <c r="AS43" s="249"/>
      <c r="AT43" s="249">
        <v>598306</v>
      </c>
      <c r="AU43" s="249">
        <f t="shared" si="2"/>
        <v>592231</v>
      </c>
      <c r="AV43" s="269">
        <f t="shared" si="3"/>
        <v>598306</v>
      </c>
      <c r="AW43" s="269">
        <f t="shared" si="4"/>
        <v>0</v>
      </c>
    </row>
    <row r="44" spans="2:49" s="140" customFormat="1" ht="22.5" x14ac:dyDescent="0.25">
      <c r="B44" s="227">
        <v>28</v>
      </c>
      <c r="C44" s="227" t="s">
        <v>42</v>
      </c>
      <c r="D44" s="28">
        <v>40013035</v>
      </c>
      <c r="E44" s="247" t="s">
        <v>1279</v>
      </c>
      <c r="F44" s="247" t="s">
        <v>54</v>
      </c>
      <c r="G44" s="229" t="s">
        <v>1237</v>
      </c>
      <c r="H44" s="247" t="s">
        <v>1237</v>
      </c>
      <c r="I44" s="247" t="s">
        <v>57</v>
      </c>
      <c r="J44" s="248">
        <v>35668</v>
      </c>
      <c r="K44" s="248">
        <v>14458</v>
      </c>
      <c r="L44" s="248">
        <f t="shared" si="0"/>
        <v>21210</v>
      </c>
      <c r="M44" s="249"/>
      <c r="N44" s="249"/>
      <c r="O44" s="249">
        <v>5302.5</v>
      </c>
      <c r="P44" s="249"/>
      <c r="Q44" s="249"/>
      <c r="R44" s="249"/>
      <c r="S44" s="249"/>
      <c r="T44" s="249"/>
      <c r="U44" s="249"/>
      <c r="V44" s="249"/>
      <c r="W44" s="249"/>
      <c r="X44" s="249"/>
      <c r="Y44" s="249">
        <f t="shared" si="1"/>
        <v>5302.5</v>
      </c>
      <c r="Z44" s="249">
        <v>21210</v>
      </c>
      <c r="AA44" s="249" t="s">
        <v>1239</v>
      </c>
      <c r="AB44" s="250">
        <v>44216</v>
      </c>
      <c r="AC44" s="251">
        <v>44225</v>
      </c>
      <c r="AD44" s="249"/>
      <c r="AE44" s="249"/>
      <c r="AF44" s="250"/>
      <c r="AG44" s="250"/>
      <c r="AH44" s="249"/>
      <c r="AI44" s="249"/>
      <c r="AJ44" s="250"/>
      <c r="AK44" s="249"/>
      <c r="AL44" s="249"/>
      <c r="AM44" s="249"/>
      <c r="AN44" s="249"/>
      <c r="AO44" s="249"/>
      <c r="AP44" s="249"/>
      <c r="AQ44" s="249"/>
      <c r="AR44" s="249"/>
      <c r="AS44" s="249"/>
      <c r="AT44" s="249">
        <v>21210</v>
      </c>
      <c r="AU44" s="249">
        <f t="shared" si="2"/>
        <v>15907.5</v>
      </c>
      <c r="AV44" s="269">
        <f t="shared" si="3"/>
        <v>21210</v>
      </c>
      <c r="AW44" s="269">
        <f t="shared" si="4"/>
        <v>0</v>
      </c>
    </row>
    <row r="45" spans="2:49" s="140" customFormat="1" ht="22.5" x14ac:dyDescent="0.25">
      <c r="B45" s="227">
        <v>29</v>
      </c>
      <c r="C45" s="227" t="s">
        <v>39</v>
      </c>
      <c r="D45" s="28">
        <v>40015828</v>
      </c>
      <c r="E45" s="247" t="s">
        <v>1280</v>
      </c>
      <c r="F45" s="247" t="s">
        <v>54</v>
      </c>
      <c r="G45" s="229" t="s">
        <v>1237</v>
      </c>
      <c r="H45" s="247" t="s">
        <v>1244</v>
      </c>
      <c r="I45" s="247" t="s">
        <v>57</v>
      </c>
      <c r="J45" s="248">
        <v>210512</v>
      </c>
      <c r="K45" s="248">
        <v>136833</v>
      </c>
      <c r="L45" s="248">
        <f t="shared" si="0"/>
        <v>73679</v>
      </c>
      <c r="M45" s="249">
        <v>2655</v>
      </c>
      <c r="N45" s="249">
        <v>35137.949000000001</v>
      </c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>
        <f t="shared" si="1"/>
        <v>37792.949000000001</v>
      </c>
      <c r="Z45" s="249">
        <v>73679</v>
      </c>
      <c r="AA45" s="249" t="s">
        <v>1239</v>
      </c>
      <c r="AB45" s="250">
        <v>44216</v>
      </c>
      <c r="AC45" s="251">
        <v>44225</v>
      </c>
      <c r="AD45" s="249"/>
      <c r="AE45" s="249"/>
      <c r="AF45" s="250"/>
      <c r="AG45" s="250"/>
      <c r="AH45" s="249"/>
      <c r="AI45" s="249"/>
      <c r="AJ45" s="250"/>
      <c r="AK45" s="249"/>
      <c r="AL45" s="249"/>
      <c r="AM45" s="249"/>
      <c r="AN45" s="249"/>
      <c r="AO45" s="249"/>
      <c r="AP45" s="249"/>
      <c r="AQ45" s="249"/>
      <c r="AR45" s="249"/>
      <c r="AS45" s="249"/>
      <c r="AT45" s="249">
        <v>73679</v>
      </c>
      <c r="AU45" s="249">
        <f t="shared" si="2"/>
        <v>35886.050999999999</v>
      </c>
      <c r="AV45" s="269">
        <f t="shared" si="3"/>
        <v>73679</v>
      </c>
      <c r="AW45" s="269">
        <f t="shared" si="4"/>
        <v>0</v>
      </c>
    </row>
    <row r="46" spans="2:49" s="140" customFormat="1" ht="22.5" x14ac:dyDescent="0.25">
      <c r="B46" s="227">
        <v>30</v>
      </c>
      <c r="C46" s="227" t="s">
        <v>39</v>
      </c>
      <c r="D46" s="28">
        <v>40009610</v>
      </c>
      <c r="E46" s="247" t="s">
        <v>1281</v>
      </c>
      <c r="F46" s="247" t="s">
        <v>54</v>
      </c>
      <c r="G46" s="229" t="s">
        <v>1237</v>
      </c>
      <c r="H46" s="247" t="s">
        <v>1262</v>
      </c>
      <c r="I46" s="247" t="s">
        <v>57</v>
      </c>
      <c r="J46" s="248">
        <v>1199735</v>
      </c>
      <c r="K46" s="248">
        <v>3076</v>
      </c>
      <c r="L46" s="248">
        <f t="shared" si="0"/>
        <v>1196659</v>
      </c>
      <c r="M46" s="249">
        <v>3008</v>
      </c>
      <c r="N46" s="249">
        <v>3008</v>
      </c>
      <c r="O46" s="249">
        <v>21200.99</v>
      </c>
      <c r="P46" s="249"/>
      <c r="Q46" s="249"/>
      <c r="R46" s="249"/>
      <c r="S46" s="249"/>
      <c r="T46" s="249"/>
      <c r="U46" s="249"/>
      <c r="V46" s="249"/>
      <c r="W46" s="249"/>
      <c r="X46" s="249"/>
      <c r="Y46" s="249">
        <f t="shared" si="1"/>
        <v>27216.99</v>
      </c>
      <c r="Z46" s="249">
        <v>1177043</v>
      </c>
      <c r="AA46" s="249" t="s">
        <v>1239</v>
      </c>
      <c r="AB46" s="250">
        <v>44216</v>
      </c>
      <c r="AC46" s="251">
        <v>44225</v>
      </c>
      <c r="AD46" s="249"/>
      <c r="AE46" s="249"/>
      <c r="AF46" s="250"/>
      <c r="AG46" s="250"/>
      <c r="AH46" s="249"/>
      <c r="AI46" s="249"/>
      <c r="AJ46" s="250"/>
      <c r="AK46" s="249"/>
      <c r="AL46" s="249"/>
      <c r="AM46" s="249"/>
      <c r="AN46" s="249"/>
      <c r="AO46" s="249"/>
      <c r="AP46" s="249"/>
      <c r="AQ46" s="249"/>
      <c r="AR46" s="249"/>
      <c r="AS46" s="249"/>
      <c r="AT46" s="249">
        <v>1177043</v>
      </c>
      <c r="AU46" s="249">
        <f t="shared" si="2"/>
        <v>1149826.01</v>
      </c>
      <c r="AV46" s="269">
        <f t="shared" si="3"/>
        <v>1177043</v>
      </c>
      <c r="AW46" s="269">
        <f t="shared" si="4"/>
        <v>0</v>
      </c>
    </row>
    <row r="47" spans="2:49" s="140" customFormat="1" ht="22.5" x14ac:dyDescent="0.25">
      <c r="B47" s="227">
        <v>31</v>
      </c>
      <c r="C47" s="227" t="s">
        <v>42</v>
      </c>
      <c r="D47" s="28">
        <v>40016456</v>
      </c>
      <c r="E47" s="247" t="s">
        <v>1282</v>
      </c>
      <c r="F47" s="247" t="s">
        <v>54</v>
      </c>
      <c r="G47" s="229" t="s">
        <v>1237</v>
      </c>
      <c r="H47" s="247" t="s">
        <v>1254</v>
      </c>
      <c r="I47" s="247" t="s">
        <v>72</v>
      </c>
      <c r="J47" s="248">
        <v>55182</v>
      </c>
      <c r="K47" s="248"/>
      <c r="L47" s="248">
        <f t="shared" si="0"/>
        <v>55182</v>
      </c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>
        <f t="shared" si="1"/>
        <v>0</v>
      </c>
      <c r="Z47" s="249">
        <v>41386</v>
      </c>
      <c r="AA47" s="249" t="s">
        <v>1239</v>
      </c>
      <c r="AB47" s="250">
        <v>44216</v>
      </c>
      <c r="AC47" s="251">
        <v>44225</v>
      </c>
      <c r="AD47" s="249"/>
      <c r="AE47" s="249"/>
      <c r="AF47" s="250"/>
      <c r="AG47" s="250"/>
      <c r="AH47" s="249"/>
      <c r="AI47" s="249"/>
      <c r="AJ47" s="250"/>
      <c r="AK47" s="249"/>
      <c r="AL47" s="249"/>
      <c r="AM47" s="249"/>
      <c r="AN47" s="249"/>
      <c r="AO47" s="249"/>
      <c r="AP47" s="249"/>
      <c r="AQ47" s="249"/>
      <c r="AR47" s="249"/>
      <c r="AS47" s="249"/>
      <c r="AT47" s="249">
        <v>41386</v>
      </c>
      <c r="AU47" s="249">
        <f t="shared" si="2"/>
        <v>41386</v>
      </c>
      <c r="AV47" s="269">
        <f t="shared" si="3"/>
        <v>41386</v>
      </c>
      <c r="AW47" s="269">
        <f t="shared" si="4"/>
        <v>0</v>
      </c>
    </row>
    <row r="48" spans="2:49" s="140" customFormat="1" x14ac:dyDescent="0.25">
      <c r="B48" s="227">
        <v>32</v>
      </c>
      <c r="C48" s="227" t="s">
        <v>39</v>
      </c>
      <c r="D48" s="28">
        <v>30409472</v>
      </c>
      <c r="E48" s="247" t="s">
        <v>1283</v>
      </c>
      <c r="F48" s="247" t="s">
        <v>54</v>
      </c>
      <c r="G48" s="229" t="s">
        <v>1237</v>
      </c>
      <c r="H48" s="247" t="s">
        <v>1257</v>
      </c>
      <c r="I48" s="247" t="s">
        <v>57</v>
      </c>
      <c r="J48" s="248">
        <v>4236502</v>
      </c>
      <c r="K48" s="248">
        <v>2705185</v>
      </c>
      <c r="L48" s="248">
        <f t="shared" si="0"/>
        <v>1531317</v>
      </c>
      <c r="M48" s="249"/>
      <c r="N48" s="249">
        <v>181849.37100000001</v>
      </c>
      <c r="O48" s="249">
        <v>263443.66800000001</v>
      </c>
      <c r="P48" s="249"/>
      <c r="Q48" s="249"/>
      <c r="R48" s="249"/>
      <c r="S48" s="249"/>
      <c r="T48" s="249"/>
      <c r="U48" s="249"/>
      <c r="V48" s="249"/>
      <c r="W48" s="249"/>
      <c r="X48" s="249"/>
      <c r="Y48" s="249">
        <f t="shared" si="1"/>
        <v>445293.03899999999</v>
      </c>
      <c r="Z48" s="249">
        <v>1398914</v>
      </c>
      <c r="AA48" s="249" t="s">
        <v>1239</v>
      </c>
      <c r="AB48" s="250">
        <v>44216</v>
      </c>
      <c r="AC48" s="251">
        <v>44225</v>
      </c>
      <c r="AD48" s="249"/>
      <c r="AE48" s="249"/>
      <c r="AF48" s="250"/>
      <c r="AG48" s="250"/>
      <c r="AH48" s="249"/>
      <c r="AI48" s="249"/>
      <c r="AJ48" s="250"/>
      <c r="AK48" s="249"/>
      <c r="AL48" s="249"/>
      <c r="AM48" s="249"/>
      <c r="AN48" s="249"/>
      <c r="AO48" s="249"/>
      <c r="AP48" s="249"/>
      <c r="AQ48" s="249"/>
      <c r="AR48" s="249"/>
      <c r="AS48" s="249"/>
      <c r="AT48" s="249">
        <v>1398914</v>
      </c>
      <c r="AU48" s="249">
        <f t="shared" si="2"/>
        <v>953620.96100000001</v>
      </c>
      <c r="AV48" s="269">
        <f t="shared" si="3"/>
        <v>1398914</v>
      </c>
      <c r="AW48" s="269">
        <f t="shared" si="4"/>
        <v>0</v>
      </c>
    </row>
    <row r="49" spans="2:49" s="140" customFormat="1" ht="22.5" x14ac:dyDescent="0.25">
      <c r="B49" s="227">
        <v>33</v>
      </c>
      <c r="C49" s="227" t="s">
        <v>39</v>
      </c>
      <c r="D49" s="28">
        <v>30467193</v>
      </c>
      <c r="E49" s="247" t="s">
        <v>1284</v>
      </c>
      <c r="F49" s="247" t="s">
        <v>54</v>
      </c>
      <c r="G49" s="229" t="s">
        <v>1237</v>
      </c>
      <c r="H49" s="247" t="s">
        <v>1237</v>
      </c>
      <c r="I49" s="247" t="s">
        <v>57</v>
      </c>
      <c r="J49" s="248">
        <v>2268765</v>
      </c>
      <c r="K49" s="248">
        <v>1140003</v>
      </c>
      <c r="L49" s="248">
        <f t="shared" si="0"/>
        <v>1128762</v>
      </c>
      <c r="M49" s="249">
        <v>106653.28</v>
      </c>
      <c r="N49" s="249">
        <v>4827.6450000000004</v>
      </c>
      <c r="O49" s="249"/>
      <c r="P49" s="249"/>
      <c r="Q49" s="249"/>
      <c r="R49" s="249"/>
      <c r="S49" s="249"/>
      <c r="T49" s="249"/>
      <c r="U49" s="249"/>
      <c r="V49" s="249"/>
      <c r="W49" s="249"/>
      <c r="X49" s="249"/>
      <c r="Y49" s="249">
        <f t="shared" si="1"/>
        <v>111480.925</v>
      </c>
      <c r="Z49" s="249">
        <v>1128761</v>
      </c>
      <c r="AA49" s="249" t="s">
        <v>1285</v>
      </c>
      <c r="AB49" s="250">
        <v>44221</v>
      </c>
      <c r="AC49" s="251">
        <v>44225</v>
      </c>
      <c r="AF49" s="252"/>
      <c r="AG49" s="250"/>
      <c r="AH49" s="249"/>
      <c r="AI49" s="249"/>
      <c r="AJ49" s="250"/>
      <c r="AK49" s="249"/>
      <c r="AL49" s="249"/>
      <c r="AM49" s="249"/>
      <c r="AN49" s="249"/>
      <c r="AO49" s="249"/>
      <c r="AP49" s="249"/>
      <c r="AQ49" s="249"/>
      <c r="AR49" s="249"/>
      <c r="AS49" s="249"/>
      <c r="AT49" s="249">
        <v>1128761</v>
      </c>
      <c r="AU49" s="249">
        <f t="shared" si="2"/>
        <v>1017280.075</v>
      </c>
      <c r="AV49" s="269">
        <f t="shared" si="3"/>
        <v>1128761</v>
      </c>
      <c r="AW49" s="269">
        <f t="shared" si="4"/>
        <v>0</v>
      </c>
    </row>
    <row r="50" spans="2:49" s="140" customFormat="1" ht="22.5" x14ac:dyDescent="0.25">
      <c r="B50" s="227">
        <v>34</v>
      </c>
      <c r="C50" s="227" t="s">
        <v>39</v>
      </c>
      <c r="D50" s="28">
        <v>30482595</v>
      </c>
      <c r="E50" s="247" t="s">
        <v>1286</v>
      </c>
      <c r="F50" s="247" t="s">
        <v>54</v>
      </c>
      <c r="G50" s="229" t="s">
        <v>1237</v>
      </c>
      <c r="H50" s="247" t="s">
        <v>1260</v>
      </c>
      <c r="I50" s="247" t="s">
        <v>57</v>
      </c>
      <c r="J50" s="248">
        <v>1834771</v>
      </c>
      <c r="K50" s="248">
        <v>1044720</v>
      </c>
      <c r="L50" s="248">
        <f t="shared" si="0"/>
        <v>790051</v>
      </c>
      <c r="M50" s="249"/>
      <c r="N50" s="249">
        <v>105071.382</v>
      </c>
      <c r="O50" s="249"/>
      <c r="P50" s="249"/>
      <c r="Q50" s="249"/>
      <c r="R50" s="249"/>
      <c r="S50" s="249"/>
      <c r="T50" s="249"/>
      <c r="U50" s="249"/>
      <c r="V50" s="249"/>
      <c r="W50" s="249"/>
      <c r="X50" s="249"/>
      <c r="Y50" s="249">
        <f t="shared" si="1"/>
        <v>105071.382</v>
      </c>
      <c r="Z50" s="249">
        <v>790051</v>
      </c>
      <c r="AA50" s="249" t="s">
        <v>1285</v>
      </c>
      <c r="AB50" s="250">
        <v>44221</v>
      </c>
      <c r="AC50" s="251">
        <v>44225</v>
      </c>
      <c r="AF50" s="252"/>
      <c r="AG50" s="250"/>
      <c r="AH50" s="249"/>
      <c r="AI50" s="249"/>
      <c r="AJ50" s="250"/>
      <c r="AK50" s="249"/>
      <c r="AL50" s="249"/>
      <c r="AM50" s="249"/>
      <c r="AN50" s="249"/>
      <c r="AO50" s="249"/>
      <c r="AP50" s="249"/>
      <c r="AQ50" s="249"/>
      <c r="AR50" s="249"/>
      <c r="AS50" s="249"/>
      <c r="AT50" s="249">
        <v>790051</v>
      </c>
      <c r="AU50" s="249">
        <f t="shared" si="2"/>
        <v>684979.61800000002</v>
      </c>
      <c r="AV50" s="269">
        <f t="shared" si="3"/>
        <v>790051</v>
      </c>
      <c r="AW50" s="269">
        <f t="shared" si="4"/>
        <v>0</v>
      </c>
    </row>
    <row r="51" spans="2:49" s="140" customFormat="1" ht="22.5" x14ac:dyDescent="0.25">
      <c r="B51" s="227">
        <v>35</v>
      </c>
      <c r="C51" s="227" t="s">
        <v>39</v>
      </c>
      <c r="D51" s="28">
        <v>30405274</v>
      </c>
      <c r="E51" s="247" t="s">
        <v>1287</v>
      </c>
      <c r="F51" s="247" t="s">
        <v>54</v>
      </c>
      <c r="G51" s="229" t="s">
        <v>1237</v>
      </c>
      <c r="H51" s="247" t="s">
        <v>1288</v>
      </c>
      <c r="I51" s="247" t="s">
        <v>57</v>
      </c>
      <c r="J51" s="248">
        <v>1280709</v>
      </c>
      <c r="K51" s="248">
        <v>1001865</v>
      </c>
      <c r="L51" s="248">
        <f t="shared" si="0"/>
        <v>278844</v>
      </c>
      <c r="M51" s="249">
        <v>39760.423000000003</v>
      </c>
      <c r="N51" s="249"/>
      <c r="O51" s="249">
        <v>25437.598000000002</v>
      </c>
      <c r="P51" s="249"/>
      <c r="Q51" s="249"/>
      <c r="R51" s="249"/>
      <c r="S51" s="249"/>
      <c r="T51" s="249"/>
      <c r="U51" s="249"/>
      <c r="V51" s="249"/>
      <c r="W51" s="249"/>
      <c r="X51" s="249"/>
      <c r="Y51" s="249">
        <f t="shared" si="1"/>
        <v>65198.021000000008</v>
      </c>
      <c r="Z51" s="249">
        <v>278844</v>
      </c>
      <c r="AA51" s="249" t="s">
        <v>1285</v>
      </c>
      <c r="AB51" s="250">
        <v>44221</v>
      </c>
      <c r="AC51" s="251">
        <v>44225</v>
      </c>
      <c r="AD51" s="249"/>
      <c r="AE51" s="249"/>
      <c r="AF51" s="250"/>
      <c r="AG51" s="250"/>
      <c r="AH51" s="249"/>
      <c r="AI51" s="249"/>
      <c r="AJ51" s="250"/>
      <c r="AK51" s="249"/>
      <c r="AL51" s="249"/>
      <c r="AM51" s="249"/>
      <c r="AN51" s="249"/>
      <c r="AO51" s="249"/>
      <c r="AP51" s="249"/>
      <c r="AQ51" s="249"/>
      <c r="AR51" s="249"/>
      <c r="AS51" s="249"/>
      <c r="AT51" s="249">
        <v>278844</v>
      </c>
      <c r="AU51" s="249">
        <f t="shared" si="2"/>
        <v>213645.97899999999</v>
      </c>
      <c r="AV51" s="269">
        <f t="shared" si="3"/>
        <v>278844</v>
      </c>
      <c r="AW51" s="269">
        <f t="shared" si="4"/>
        <v>0</v>
      </c>
    </row>
    <row r="52" spans="2:49" s="140" customFormat="1" x14ac:dyDescent="0.25">
      <c r="B52" s="227">
        <v>36</v>
      </c>
      <c r="C52" s="227" t="s">
        <v>39</v>
      </c>
      <c r="D52" s="28">
        <v>40002424</v>
      </c>
      <c r="E52" s="247" t="s">
        <v>1289</v>
      </c>
      <c r="F52" s="247" t="s">
        <v>54</v>
      </c>
      <c r="G52" s="229" t="s">
        <v>1237</v>
      </c>
      <c r="H52" s="247" t="s">
        <v>1288</v>
      </c>
      <c r="I52" s="247" t="s">
        <v>57</v>
      </c>
      <c r="J52" s="248">
        <v>1546910</v>
      </c>
      <c r="K52" s="248">
        <v>879185</v>
      </c>
      <c r="L52" s="248">
        <f t="shared" si="0"/>
        <v>667725</v>
      </c>
      <c r="M52" s="249"/>
      <c r="N52" s="249">
        <v>210431.47</v>
      </c>
      <c r="O52" s="249"/>
      <c r="P52" s="249"/>
      <c r="Q52" s="249"/>
      <c r="R52" s="249"/>
      <c r="S52" s="249"/>
      <c r="T52" s="249"/>
      <c r="U52" s="249"/>
      <c r="V52" s="249"/>
      <c r="W52" s="249"/>
      <c r="X52" s="249"/>
      <c r="Y52" s="249">
        <f t="shared" si="1"/>
        <v>210431.47</v>
      </c>
      <c r="Z52" s="249">
        <v>667136</v>
      </c>
      <c r="AA52" s="249" t="s">
        <v>1285</v>
      </c>
      <c r="AB52" s="250">
        <v>44221</v>
      </c>
      <c r="AC52" s="251">
        <v>44225</v>
      </c>
      <c r="AD52" s="249"/>
      <c r="AE52" s="249"/>
      <c r="AF52" s="250"/>
      <c r="AG52" s="250"/>
      <c r="AH52" s="249"/>
      <c r="AI52" s="249"/>
      <c r="AJ52" s="250"/>
      <c r="AK52" s="249"/>
      <c r="AL52" s="249"/>
      <c r="AM52" s="249"/>
      <c r="AN52" s="249"/>
      <c r="AO52" s="249"/>
      <c r="AP52" s="249"/>
      <c r="AQ52" s="249"/>
      <c r="AR52" s="249"/>
      <c r="AS52" s="249"/>
      <c r="AT52" s="249">
        <v>667136</v>
      </c>
      <c r="AU52" s="249">
        <f t="shared" si="2"/>
        <v>456704.53</v>
      </c>
      <c r="AV52" s="269">
        <f t="shared" si="3"/>
        <v>667136</v>
      </c>
      <c r="AW52" s="269">
        <f t="shared" si="4"/>
        <v>0</v>
      </c>
    </row>
    <row r="53" spans="2:49" s="140" customFormat="1" ht="22.5" x14ac:dyDescent="0.25">
      <c r="B53" s="227">
        <v>37</v>
      </c>
      <c r="C53" s="227" t="s">
        <v>39</v>
      </c>
      <c r="D53" s="28">
        <v>40004162</v>
      </c>
      <c r="E53" s="247" t="s">
        <v>1290</v>
      </c>
      <c r="F53" s="247" t="s">
        <v>54</v>
      </c>
      <c r="G53" s="229" t="s">
        <v>1237</v>
      </c>
      <c r="H53" s="247" t="s">
        <v>1242</v>
      </c>
      <c r="I53" s="247" t="s">
        <v>57</v>
      </c>
      <c r="J53" s="248">
        <v>949615</v>
      </c>
      <c r="K53" s="248">
        <v>790296</v>
      </c>
      <c r="L53" s="248">
        <f t="shared" si="0"/>
        <v>159319</v>
      </c>
      <c r="M53" s="249"/>
      <c r="N53" s="249"/>
      <c r="O53" s="249"/>
      <c r="P53" s="249"/>
      <c r="Q53" s="249"/>
      <c r="R53" s="249"/>
      <c r="S53" s="249"/>
      <c r="T53" s="249"/>
      <c r="U53" s="249"/>
      <c r="V53" s="249"/>
      <c r="W53" s="249"/>
      <c r="X53" s="249"/>
      <c r="Y53" s="249">
        <f t="shared" si="1"/>
        <v>0</v>
      </c>
      <c r="Z53" s="249">
        <v>159319</v>
      </c>
      <c r="AA53" s="249" t="s">
        <v>1285</v>
      </c>
      <c r="AB53" s="250">
        <v>44221</v>
      </c>
      <c r="AC53" s="251">
        <v>44225</v>
      </c>
      <c r="AF53" s="252"/>
      <c r="AG53" s="250"/>
      <c r="AH53" s="249"/>
      <c r="AI53" s="249"/>
      <c r="AJ53" s="250"/>
      <c r="AK53" s="249"/>
      <c r="AL53" s="249"/>
      <c r="AM53" s="249"/>
      <c r="AN53" s="249"/>
      <c r="AO53" s="249"/>
      <c r="AP53" s="249"/>
      <c r="AQ53" s="249"/>
      <c r="AR53" s="249"/>
      <c r="AS53" s="249"/>
      <c r="AT53" s="249">
        <v>159319</v>
      </c>
      <c r="AU53" s="249">
        <f t="shared" si="2"/>
        <v>159319</v>
      </c>
      <c r="AV53" s="269">
        <f t="shared" si="3"/>
        <v>159319</v>
      </c>
      <c r="AW53" s="269">
        <f t="shared" si="4"/>
        <v>0</v>
      </c>
    </row>
    <row r="54" spans="2:49" s="140" customFormat="1" ht="22.5" x14ac:dyDescent="0.25">
      <c r="B54" s="227">
        <v>38</v>
      </c>
      <c r="C54" s="227" t="s">
        <v>39</v>
      </c>
      <c r="D54" s="28">
        <v>40000095</v>
      </c>
      <c r="E54" s="247" t="s">
        <v>1291</v>
      </c>
      <c r="F54" s="247" t="s">
        <v>54</v>
      </c>
      <c r="G54" s="229" t="s">
        <v>1237</v>
      </c>
      <c r="H54" s="247" t="s">
        <v>1257</v>
      </c>
      <c r="I54" s="247" t="s">
        <v>57</v>
      </c>
      <c r="J54" s="248">
        <v>847589</v>
      </c>
      <c r="K54" s="248">
        <v>756066</v>
      </c>
      <c r="L54" s="248">
        <f t="shared" si="0"/>
        <v>91523</v>
      </c>
      <c r="M54" s="249"/>
      <c r="N54" s="249"/>
      <c r="O54" s="249">
        <v>3328</v>
      </c>
      <c r="P54" s="249"/>
      <c r="Q54" s="249"/>
      <c r="R54" s="249"/>
      <c r="S54" s="249"/>
      <c r="T54" s="249"/>
      <c r="U54" s="249"/>
      <c r="V54" s="249"/>
      <c r="W54" s="249"/>
      <c r="X54" s="249"/>
      <c r="Y54" s="249">
        <f t="shared" si="1"/>
        <v>3328</v>
      </c>
      <c r="Z54" s="249">
        <v>89525</v>
      </c>
      <c r="AA54" s="249" t="s">
        <v>1285</v>
      </c>
      <c r="AB54" s="250">
        <v>44221</v>
      </c>
      <c r="AC54" s="251">
        <v>44225</v>
      </c>
      <c r="AD54" s="249">
        <v>1997</v>
      </c>
      <c r="AE54" s="249" t="s">
        <v>1292</v>
      </c>
      <c r="AF54" s="250">
        <v>44295</v>
      </c>
      <c r="AG54" s="251">
        <v>44301</v>
      </c>
      <c r="AH54" s="249"/>
      <c r="AI54" s="249"/>
      <c r="AJ54" s="250"/>
      <c r="AK54" s="249"/>
      <c r="AL54" s="249"/>
      <c r="AM54" s="249"/>
      <c r="AN54" s="249"/>
      <c r="AO54" s="249"/>
      <c r="AP54" s="249"/>
      <c r="AQ54" s="249"/>
      <c r="AR54" s="249"/>
      <c r="AS54" s="249"/>
      <c r="AT54" s="249">
        <v>91522</v>
      </c>
      <c r="AU54" s="249">
        <f t="shared" si="2"/>
        <v>88194</v>
      </c>
      <c r="AV54" s="269">
        <f t="shared" si="3"/>
        <v>91522</v>
      </c>
      <c r="AW54" s="269">
        <f t="shared" si="4"/>
        <v>0</v>
      </c>
    </row>
    <row r="55" spans="2:49" s="140" customFormat="1" ht="22.5" x14ac:dyDescent="0.25">
      <c r="B55" s="227">
        <v>39</v>
      </c>
      <c r="C55" s="227" t="s">
        <v>39</v>
      </c>
      <c r="D55" s="28">
        <v>40003136</v>
      </c>
      <c r="E55" s="247" t="s">
        <v>1293</v>
      </c>
      <c r="F55" s="247" t="s">
        <v>54</v>
      </c>
      <c r="G55" s="229" t="s">
        <v>1237</v>
      </c>
      <c r="H55" s="247" t="s">
        <v>1294</v>
      </c>
      <c r="I55" s="247" t="s">
        <v>57</v>
      </c>
      <c r="J55" s="248">
        <v>802952</v>
      </c>
      <c r="K55" s="248">
        <v>702606</v>
      </c>
      <c r="L55" s="248">
        <f t="shared" si="0"/>
        <v>100346</v>
      </c>
      <c r="M55" s="249"/>
      <c r="N55" s="249"/>
      <c r="O55" s="249"/>
      <c r="P55" s="249"/>
      <c r="Q55" s="249"/>
      <c r="R55" s="249"/>
      <c r="S55" s="249"/>
      <c r="T55" s="249"/>
      <c r="U55" s="249"/>
      <c r="V55" s="249"/>
      <c r="W55" s="249"/>
      <c r="X55" s="249"/>
      <c r="Y55" s="249">
        <f t="shared" si="1"/>
        <v>0</v>
      </c>
      <c r="Z55" s="249">
        <v>75296</v>
      </c>
      <c r="AA55" s="249" t="s">
        <v>1285</v>
      </c>
      <c r="AB55" s="250">
        <v>44221</v>
      </c>
      <c r="AC55" s="251">
        <v>44225</v>
      </c>
      <c r="AD55" s="249">
        <v>185</v>
      </c>
      <c r="AE55" s="249" t="s">
        <v>1295</v>
      </c>
      <c r="AF55" s="250">
        <v>44307</v>
      </c>
      <c r="AG55" s="250"/>
      <c r="AH55" s="249"/>
      <c r="AI55" s="249"/>
      <c r="AJ55" s="250"/>
      <c r="AK55" s="249"/>
      <c r="AL55" s="249"/>
      <c r="AM55" s="249"/>
      <c r="AN55" s="249"/>
      <c r="AO55" s="249"/>
      <c r="AP55" s="249"/>
      <c r="AQ55" s="249"/>
      <c r="AR55" s="249"/>
      <c r="AS55" s="249"/>
      <c r="AT55" s="249">
        <v>75481</v>
      </c>
      <c r="AU55" s="249">
        <f t="shared" si="2"/>
        <v>75481</v>
      </c>
      <c r="AV55" s="269">
        <f t="shared" si="3"/>
        <v>75481</v>
      </c>
      <c r="AW55" s="269">
        <f t="shared" si="4"/>
        <v>0</v>
      </c>
    </row>
    <row r="56" spans="2:49" s="140" customFormat="1" x14ac:dyDescent="0.25">
      <c r="B56" s="227">
        <v>40</v>
      </c>
      <c r="C56" s="227" t="s">
        <v>39</v>
      </c>
      <c r="D56" s="28">
        <v>40011327</v>
      </c>
      <c r="E56" s="247" t="s">
        <v>1296</v>
      </c>
      <c r="F56" s="247" t="s">
        <v>54</v>
      </c>
      <c r="G56" s="229" t="s">
        <v>1237</v>
      </c>
      <c r="H56" s="247" t="s">
        <v>1257</v>
      </c>
      <c r="I56" s="247" t="s">
        <v>57</v>
      </c>
      <c r="J56" s="248">
        <v>723640</v>
      </c>
      <c r="K56" s="248">
        <v>665598</v>
      </c>
      <c r="L56" s="248">
        <f t="shared" si="0"/>
        <v>58042</v>
      </c>
      <c r="M56" s="249">
        <v>1800</v>
      </c>
      <c r="N56" s="249"/>
      <c r="O56" s="249"/>
      <c r="P56" s="249"/>
      <c r="Q56" s="249"/>
      <c r="R56" s="249"/>
      <c r="S56" s="249"/>
      <c r="T56" s="249"/>
      <c r="U56" s="249"/>
      <c r="V56" s="249"/>
      <c r="W56" s="249"/>
      <c r="X56" s="249"/>
      <c r="Y56" s="249">
        <f t="shared" si="1"/>
        <v>1800</v>
      </c>
      <c r="Z56" s="249">
        <v>58042</v>
      </c>
      <c r="AA56" s="249" t="s">
        <v>1285</v>
      </c>
      <c r="AB56" s="250">
        <v>44221</v>
      </c>
      <c r="AC56" s="251">
        <v>44225</v>
      </c>
      <c r="AD56" s="249"/>
      <c r="AE56" s="249"/>
      <c r="AF56" s="250"/>
      <c r="AG56" s="250"/>
      <c r="AH56" s="249"/>
      <c r="AI56" s="249"/>
      <c r="AJ56" s="250"/>
      <c r="AK56" s="249"/>
      <c r="AL56" s="249"/>
      <c r="AM56" s="249"/>
      <c r="AN56" s="249"/>
      <c r="AO56" s="249"/>
      <c r="AP56" s="249"/>
      <c r="AQ56" s="249"/>
      <c r="AR56" s="249"/>
      <c r="AS56" s="249"/>
      <c r="AT56" s="249">
        <v>58042</v>
      </c>
      <c r="AU56" s="249">
        <f t="shared" si="2"/>
        <v>56242</v>
      </c>
      <c r="AV56" s="269">
        <f t="shared" si="3"/>
        <v>58042</v>
      </c>
      <c r="AW56" s="269">
        <f t="shared" si="4"/>
        <v>0</v>
      </c>
    </row>
    <row r="57" spans="2:49" s="140" customFormat="1" ht="22.5" x14ac:dyDescent="0.25">
      <c r="B57" s="227">
        <v>41</v>
      </c>
      <c r="C57" s="227" t="s">
        <v>39</v>
      </c>
      <c r="D57" s="28">
        <v>40005398</v>
      </c>
      <c r="E57" s="247" t="s">
        <v>1297</v>
      </c>
      <c r="F57" s="247" t="s">
        <v>54</v>
      </c>
      <c r="G57" s="229" t="s">
        <v>1237</v>
      </c>
      <c r="H57" s="247" t="s">
        <v>1298</v>
      </c>
      <c r="I57" s="247" t="s">
        <v>57</v>
      </c>
      <c r="J57" s="248">
        <v>1853127</v>
      </c>
      <c r="K57" s="248">
        <v>621872</v>
      </c>
      <c r="L57" s="248">
        <f t="shared" si="0"/>
        <v>1231255</v>
      </c>
      <c r="M57" s="249"/>
      <c r="N57" s="249">
        <v>1846.154</v>
      </c>
      <c r="O57" s="249">
        <v>1846.154</v>
      </c>
      <c r="P57" s="249"/>
      <c r="Q57" s="249"/>
      <c r="R57" s="249"/>
      <c r="S57" s="249"/>
      <c r="T57" s="249"/>
      <c r="U57" s="249"/>
      <c r="V57" s="249"/>
      <c r="W57" s="249"/>
      <c r="X57" s="249"/>
      <c r="Y57" s="249">
        <f t="shared" si="1"/>
        <v>3692.308</v>
      </c>
      <c r="Z57" s="249">
        <v>1231255</v>
      </c>
      <c r="AA57" s="249" t="s">
        <v>1285</v>
      </c>
      <c r="AB57" s="250">
        <v>44221</v>
      </c>
      <c r="AC57" s="251">
        <v>44225</v>
      </c>
      <c r="AD57" s="253"/>
      <c r="AE57" s="253"/>
      <c r="AF57" s="254"/>
      <c r="AG57" s="250"/>
      <c r="AH57" s="249"/>
      <c r="AI57" s="249"/>
      <c r="AJ57" s="250"/>
      <c r="AK57" s="249"/>
      <c r="AL57" s="249"/>
      <c r="AM57" s="249"/>
      <c r="AN57" s="249"/>
      <c r="AO57" s="249"/>
      <c r="AP57" s="249"/>
      <c r="AQ57" s="249"/>
      <c r="AR57" s="249"/>
      <c r="AS57" s="249"/>
      <c r="AT57" s="249">
        <v>1231255</v>
      </c>
      <c r="AU57" s="249">
        <f t="shared" si="2"/>
        <v>1227562.692</v>
      </c>
      <c r="AV57" s="269">
        <f t="shared" si="3"/>
        <v>1231255</v>
      </c>
      <c r="AW57" s="269">
        <f t="shared" si="4"/>
        <v>0</v>
      </c>
    </row>
    <row r="58" spans="2:49" s="140" customFormat="1" x14ac:dyDescent="0.25">
      <c r="B58" s="227">
        <v>42</v>
      </c>
      <c r="C58" s="227" t="s">
        <v>39</v>
      </c>
      <c r="D58" s="28">
        <v>30485847</v>
      </c>
      <c r="E58" s="247" t="s">
        <v>1299</v>
      </c>
      <c r="F58" s="247" t="s">
        <v>54</v>
      </c>
      <c r="G58" s="229" t="s">
        <v>1237</v>
      </c>
      <c r="H58" s="247" t="s">
        <v>1300</v>
      </c>
      <c r="I58" s="247" t="s">
        <v>57</v>
      </c>
      <c r="J58" s="248">
        <v>783593</v>
      </c>
      <c r="K58" s="248">
        <v>551680</v>
      </c>
      <c r="L58" s="248">
        <f t="shared" si="0"/>
        <v>231913</v>
      </c>
      <c r="M58" s="249"/>
      <c r="N58" s="249"/>
      <c r="O58" s="249"/>
      <c r="P58" s="249"/>
      <c r="Q58" s="249"/>
      <c r="R58" s="249"/>
      <c r="S58" s="249"/>
      <c r="T58" s="249"/>
      <c r="U58" s="249"/>
      <c r="V58" s="249"/>
      <c r="W58" s="249"/>
      <c r="X58" s="249"/>
      <c r="Y58" s="249">
        <f t="shared" si="1"/>
        <v>0</v>
      </c>
      <c r="Z58" s="249">
        <v>122923</v>
      </c>
      <c r="AA58" s="249" t="s">
        <v>1285</v>
      </c>
      <c r="AB58" s="250">
        <v>44221</v>
      </c>
      <c r="AC58" s="251">
        <v>44225</v>
      </c>
      <c r="AD58" s="249">
        <v>2851</v>
      </c>
      <c r="AE58" s="249" t="s">
        <v>1295</v>
      </c>
      <c r="AF58" s="250">
        <v>44307</v>
      </c>
      <c r="AG58" s="250"/>
      <c r="AH58" s="249"/>
      <c r="AI58" s="249"/>
      <c r="AJ58" s="250"/>
      <c r="AK58" s="249"/>
      <c r="AL58" s="249"/>
      <c r="AM58" s="249"/>
      <c r="AN58" s="249"/>
      <c r="AO58" s="249"/>
      <c r="AP58" s="249"/>
      <c r="AQ58" s="249"/>
      <c r="AR58" s="249"/>
      <c r="AS58" s="249"/>
      <c r="AT58" s="249">
        <v>125774</v>
      </c>
      <c r="AU58" s="249">
        <f t="shared" si="2"/>
        <v>125774</v>
      </c>
      <c r="AV58" s="269">
        <f t="shared" si="3"/>
        <v>125774</v>
      </c>
      <c r="AW58" s="269">
        <f t="shared" si="4"/>
        <v>0</v>
      </c>
    </row>
    <row r="59" spans="2:49" s="140" customFormat="1" x14ac:dyDescent="0.25">
      <c r="B59" s="227">
        <v>43</v>
      </c>
      <c r="C59" s="227" t="s">
        <v>39</v>
      </c>
      <c r="D59" s="28">
        <v>30184622</v>
      </c>
      <c r="E59" s="247" t="s">
        <v>1301</v>
      </c>
      <c r="F59" s="247" t="s">
        <v>54</v>
      </c>
      <c r="G59" s="229" t="s">
        <v>1237</v>
      </c>
      <c r="H59" s="247" t="s">
        <v>1288</v>
      </c>
      <c r="I59" s="247" t="s">
        <v>57</v>
      </c>
      <c r="J59" s="248">
        <v>1120747</v>
      </c>
      <c r="K59" s="248">
        <v>513901</v>
      </c>
      <c r="L59" s="248">
        <f t="shared" si="0"/>
        <v>606846</v>
      </c>
      <c r="M59" s="249"/>
      <c r="N59" s="249">
        <v>176623.948</v>
      </c>
      <c r="O59" s="249">
        <v>115479.367</v>
      </c>
      <c r="P59" s="249"/>
      <c r="Q59" s="249"/>
      <c r="R59" s="249"/>
      <c r="S59" s="249"/>
      <c r="T59" s="249"/>
      <c r="U59" s="249"/>
      <c r="V59" s="249"/>
      <c r="W59" s="249"/>
      <c r="X59" s="249"/>
      <c r="Y59" s="249">
        <f t="shared" si="1"/>
        <v>292103.315</v>
      </c>
      <c r="Z59" s="249">
        <v>606846</v>
      </c>
      <c r="AA59" s="249" t="s">
        <v>1285</v>
      </c>
      <c r="AB59" s="250">
        <v>44221</v>
      </c>
      <c r="AC59" s="251">
        <v>44225</v>
      </c>
      <c r="AD59" s="249"/>
      <c r="AE59" s="249"/>
      <c r="AF59" s="250"/>
      <c r="AG59" s="250"/>
      <c r="AH59" s="249"/>
      <c r="AI59" s="249"/>
      <c r="AJ59" s="250"/>
      <c r="AK59" s="249"/>
      <c r="AL59" s="249"/>
      <c r="AM59" s="249"/>
      <c r="AN59" s="249"/>
      <c r="AO59" s="249"/>
      <c r="AP59" s="249"/>
      <c r="AQ59" s="249"/>
      <c r="AR59" s="249"/>
      <c r="AS59" s="249"/>
      <c r="AT59" s="249">
        <v>606846</v>
      </c>
      <c r="AU59" s="249">
        <f t="shared" si="2"/>
        <v>314742.685</v>
      </c>
      <c r="AV59" s="269">
        <f t="shared" si="3"/>
        <v>606846</v>
      </c>
      <c r="AW59" s="269">
        <f t="shared" si="4"/>
        <v>0</v>
      </c>
    </row>
    <row r="60" spans="2:49" s="140" customFormat="1" x14ac:dyDescent="0.25">
      <c r="B60" s="227">
        <v>44</v>
      </c>
      <c r="C60" s="227" t="s">
        <v>39</v>
      </c>
      <c r="D60" s="28">
        <v>30482139</v>
      </c>
      <c r="E60" s="247" t="s">
        <v>1302</v>
      </c>
      <c r="F60" s="247" t="s">
        <v>54</v>
      </c>
      <c r="G60" s="229" t="s">
        <v>1237</v>
      </c>
      <c r="H60" s="247" t="s">
        <v>1303</v>
      </c>
      <c r="I60" s="247" t="s">
        <v>57</v>
      </c>
      <c r="J60" s="248">
        <v>487234</v>
      </c>
      <c r="K60" s="248">
        <v>348776</v>
      </c>
      <c r="L60" s="248">
        <f t="shared" si="0"/>
        <v>138458</v>
      </c>
      <c r="M60" s="249"/>
      <c r="N60" s="249"/>
      <c r="O60" s="249"/>
      <c r="P60" s="249"/>
      <c r="Q60" s="249"/>
      <c r="R60" s="249"/>
      <c r="S60" s="249"/>
      <c r="T60" s="249"/>
      <c r="U60" s="249"/>
      <c r="V60" s="249"/>
      <c r="W60" s="249"/>
      <c r="X60" s="249"/>
      <c r="Y60" s="249">
        <f t="shared" si="1"/>
        <v>0</v>
      </c>
      <c r="Z60" s="249">
        <v>138458</v>
      </c>
      <c r="AA60" s="249" t="s">
        <v>1285</v>
      </c>
      <c r="AB60" s="250">
        <v>44221</v>
      </c>
      <c r="AC60" s="251">
        <v>44225</v>
      </c>
      <c r="AD60" s="249"/>
      <c r="AE60" s="249"/>
      <c r="AF60" s="250"/>
      <c r="AG60" s="250"/>
      <c r="AH60" s="249"/>
      <c r="AI60" s="249"/>
      <c r="AJ60" s="250"/>
      <c r="AK60" s="249"/>
      <c r="AL60" s="249"/>
      <c r="AM60" s="249"/>
      <c r="AN60" s="249"/>
      <c r="AO60" s="249"/>
      <c r="AP60" s="249"/>
      <c r="AQ60" s="249"/>
      <c r="AR60" s="249"/>
      <c r="AS60" s="249"/>
      <c r="AT60" s="249">
        <v>138458</v>
      </c>
      <c r="AU60" s="249">
        <f t="shared" si="2"/>
        <v>138458</v>
      </c>
      <c r="AV60" s="269">
        <f t="shared" si="3"/>
        <v>138458</v>
      </c>
      <c r="AW60" s="269">
        <f t="shared" si="4"/>
        <v>0</v>
      </c>
    </row>
    <row r="61" spans="2:49" s="140" customFormat="1" ht="22.5" x14ac:dyDescent="0.25">
      <c r="B61" s="227">
        <v>45</v>
      </c>
      <c r="C61" s="227" t="s">
        <v>39</v>
      </c>
      <c r="D61" s="28">
        <v>30103817</v>
      </c>
      <c r="E61" s="247" t="s">
        <v>1304</v>
      </c>
      <c r="F61" s="247" t="s">
        <v>54</v>
      </c>
      <c r="G61" s="229" t="s">
        <v>1237</v>
      </c>
      <c r="H61" s="247" t="s">
        <v>1305</v>
      </c>
      <c r="I61" s="247" t="s">
        <v>57</v>
      </c>
      <c r="J61" s="248">
        <v>445903</v>
      </c>
      <c r="K61" s="248">
        <v>333235</v>
      </c>
      <c r="L61" s="248">
        <f t="shared" si="0"/>
        <v>112668</v>
      </c>
      <c r="M61" s="249"/>
      <c r="N61" s="249">
        <v>1725.68</v>
      </c>
      <c r="O61" s="249"/>
      <c r="P61" s="249"/>
      <c r="Q61" s="249"/>
      <c r="R61" s="249"/>
      <c r="S61" s="249"/>
      <c r="T61" s="249"/>
      <c r="U61" s="249"/>
      <c r="V61" s="249"/>
      <c r="W61" s="249"/>
      <c r="X61" s="249"/>
      <c r="Y61" s="249">
        <f t="shared" si="1"/>
        <v>1725.68</v>
      </c>
      <c r="Z61" s="249">
        <v>112668</v>
      </c>
      <c r="AA61" s="249" t="s">
        <v>1285</v>
      </c>
      <c r="AB61" s="250">
        <v>44221</v>
      </c>
      <c r="AC61" s="251">
        <v>44225</v>
      </c>
      <c r="AD61" s="249"/>
      <c r="AE61" s="249"/>
      <c r="AF61" s="250"/>
      <c r="AG61" s="250"/>
      <c r="AH61" s="249"/>
      <c r="AI61" s="249"/>
      <c r="AJ61" s="250"/>
      <c r="AK61" s="249"/>
      <c r="AL61" s="249"/>
      <c r="AM61" s="249"/>
      <c r="AN61" s="249"/>
      <c r="AO61" s="249"/>
      <c r="AP61" s="249"/>
      <c r="AQ61" s="249"/>
      <c r="AR61" s="249"/>
      <c r="AS61" s="249"/>
      <c r="AT61" s="249">
        <v>112668</v>
      </c>
      <c r="AU61" s="249">
        <f t="shared" si="2"/>
        <v>110942.32</v>
      </c>
      <c r="AV61" s="269">
        <f t="shared" si="3"/>
        <v>112668</v>
      </c>
      <c r="AW61" s="269">
        <f t="shared" si="4"/>
        <v>0</v>
      </c>
    </row>
    <row r="62" spans="2:49" s="140" customFormat="1" x14ac:dyDescent="0.25">
      <c r="B62" s="227">
        <v>46</v>
      </c>
      <c r="C62" s="227" t="s">
        <v>39</v>
      </c>
      <c r="D62" s="28">
        <v>30485565</v>
      </c>
      <c r="E62" s="247" t="s">
        <v>1306</v>
      </c>
      <c r="F62" s="247" t="s">
        <v>54</v>
      </c>
      <c r="G62" s="229" t="s">
        <v>1237</v>
      </c>
      <c r="H62" s="247" t="s">
        <v>1307</v>
      </c>
      <c r="I62" s="247" t="s">
        <v>57</v>
      </c>
      <c r="J62" s="248">
        <v>4177210</v>
      </c>
      <c r="K62" s="248">
        <v>543377</v>
      </c>
      <c r="L62" s="248">
        <f t="shared" si="0"/>
        <v>3633833</v>
      </c>
      <c r="M62" s="249"/>
      <c r="N62" s="249"/>
      <c r="O62" s="249"/>
      <c r="P62" s="249"/>
      <c r="Q62" s="249"/>
      <c r="R62" s="249"/>
      <c r="S62" s="249"/>
      <c r="T62" s="249"/>
      <c r="U62" s="249"/>
      <c r="V62" s="249"/>
      <c r="W62" s="249"/>
      <c r="X62" s="249"/>
      <c r="Y62" s="249">
        <f t="shared" si="1"/>
        <v>0</v>
      </c>
      <c r="Z62" s="249">
        <v>3633833</v>
      </c>
      <c r="AA62" s="249" t="s">
        <v>1285</v>
      </c>
      <c r="AB62" s="250">
        <v>44221</v>
      </c>
      <c r="AC62" s="251">
        <v>44225</v>
      </c>
      <c r="AD62" s="249">
        <v>-1700000</v>
      </c>
      <c r="AE62" s="249" t="s">
        <v>1308</v>
      </c>
      <c r="AF62" s="250">
        <v>44253</v>
      </c>
      <c r="AG62" s="251">
        <v>44286</v>
      </c>
      <c r="AH62" s="249"/>
      <c r="AI62" s="249"/>
      <c r="AJ62" s="250"/>
      <c r="AK62" s="249"/>
      <c r="AL62" s="249"/>
      <c r="AM62" s="249"/>
      <c r="AN62" s="249"/>
      <c r="AO62" s="249"/>
      <c r="AP62" s="249"/>
      <c r="AQ62" s="249"/>
      <c r="AR62" s="249"/>
      <c r="AS62" s="249"/>
      <c r="AT62" s="249">
        <v>1933833</v>
      </c>
      <c r="AU62" s="249">
        <f t="shared" si="2"/>
        <v>1933833</v>
      </c>
      <c r="AV62" s="269">
        <f t="shared" si="3"/>
        <v>1933833</v>
      </c>
      <c r="AW62" s="269">
        <f t="shared" si="4"/>
        <v>0</v>
      </c>
    </row>
    <row r="63" spans="2:49" s="140" customFormat="1" ht="22.5" x14ac:dyDescent="0.25">
      <c r="B63" s="227">
        <v>47</v>
      </c>
      <c r="C63" s="227" t="s">
        <v>39</v>
      </c>
      <c r="D63" s="28">
        <v>30200172</v>
      </c>
      <c r="E63" s="247" t="s">
        <v>1309</v>
      </c>
      <c r="F63" s="247" t="s">
        <v>54</v>
      </c>
      <c r="G63" s="229" t="s">
        <v>1237</v>
      </c>
      <c r="H63" s="247" t="s">
        <v>1288</v>
      </c>
      <c r="I63" s="247" t="s">
        <v>57</v>
      </c>
      <c r="J63" s="248">
        <v>331080</v>
      </c>
      <c r="K63" s="248">
        <v>268444</v>
      </c>
      <c r="L63" s="248">
        <f t="shared" si="0"/>
        <v>62636</v>
      </c>
      <c r="M63" s="249"/>
      <c r="N63" s="249">
        <v>24331.522000000001</v>
      </c>
      <c r="O63" s="249"/>
      <c r="P63" s="249"/>
      <c r="Q63" s="249"/>
      <c r="R63" s="249"/>
      <c r="S63" s="249"/>
      <c r="T63" s="249"/>
      <c r="U63" s="249"/>
      <c r="V63" s="249"/>
      <c r="W63" s="249"/>
      <c r="X63" s="249"/>
      <c r="Y63" s="249">
        <f t="shared" si="1"/>
        <v>24331.522000000001</v>
      </c>
      <c r="Z63" s="249">
        <v>62636</v>
      </c>
      <c r="AA63" s="249" t="s">
        <v>1285</v>
      </c>
      <c r="AB63" s="250">
        <v>44221</v>
      </c>
      <c r="AC63" s="251">
        <v>44225</v>
      </c>
      <c r="AD63" s="249"/>
      <c r="AE63" s="249"/>
      <c r="AF63" s="250"/>
      <c r="AG63" s="250"/>
      <c r="AH63" s="249"/>
      <c r="AI63" s="249"/>
      <c r="AJ63" s="250"/>
      <c r="AK63" s="249"/>
      <c r="AL63" s="249"/>
      <c r="AM63" s="249"/>
      <c r="AN63" s="249"/>
      <c r="AO63" s="249"/>
      <c r="AP63" s="249"/>
      <c r="AQ63" s="249"/>
      <c r="AR63" s="249"/>
      <c r="AS63" s="249"/>
      <c r="AT63" s="249">
        <v>62636</v>
      </c>
      <c r="AU63" s="249">
        <f t="shared" si="2"/>
        <v>38304.478000000003</v>
      </c>
      <c r="AV63" s="269">
        <f t="shared" si="3"/>
        <v>62636</v>
      </c>
      <c r="AW63" s="269">
        <f t="shared" si="4"/>
        <v>0</v>
      </c>
    </row>
    <row r="64" spans="2:49" s="140" customFormat="1" ht="22.5" x14ac:dyDescent="0.25">
      <c r="B64" s="227">
        <v>48</v>
      </c>
      <c r="C64" s="227" t="s">
        <v>39</v>
      </c>
      <c r="D64" s="28">
        <v>40001489</v>
      </c>
      <c r="E64" s="247" t="s">
        <v>1310</v>
      </c>
      <c r="F64" s="247" t="s">
        <v>54</v>
      </c>
      <c r="G64" s="229" t="s">
        <v>1237</v>
      </c>
      <c r="H64" s="247" t="s">
        <v>1254</v>
      </c>
      <c r="I64" s="247" t="s">
        <v>57</v>
      </c>
      <c r="J64" s="248">
        <v>538466</v>
      </c>
      <c r="K64" s="248">
        <v>265727</v>
      </c>
      <c r="L64" s="248">
        <f t="shared" si="0"/>
        <v>272739</v>
      </c>
      <c r="M64" s="249"/>
      <c r="N64" s="249">
        <v>65300.252999999997</v>
      </c>
      <c r="O64" s="249">
        <v>46980.321000000004</v>
      </c>
      <c r="P64" s="249"/>
      <c r="Q64" s="249"/>
      <c r="R64" s="249"/>
      <c r="S64" s="249"/>
      <c r="T64" s="249"/>
      <c r="U64" s="249"/>
      <c r="V64" s="249"/>
      <c r="W64" s="249"/>
      <c r="X64" s="249"/>
      <c r="Y64" s="249">
        <f t="shared" si="1"/>
        <v>112280.57399999999</v>
      </c>
      <c r="Z64" s="249">
        <v>272739</v>
      </c>
      <c r="AA64" s="249" t="s">
        <v>1285</v>
      </c>
      <c r="AB64" s="250">
        <v>44221</v>
      </c>
      <c r="AC64" s="251">
        <v>44225</v>
      </c>
      <c r="AD64" s="249"/>
      <c r="AE64" s="249"/>
      <c r="AF64" s="250"/>
      <c r="AG64" s="250"/>
      <c r="AH64" s="249"/>
      <c r="AI64" s="249"/>
      <c r="AJ64" s="250"/>
      <c r="AK64" s="249"/>
      <c r="AL64" s="249"/>
      <c r="AM64" s="249"/>
      <c r="AN64" s="249"/>
      <c r="AO64" s="249"/>
      <c r="AP64" s="249"/>
      <c r="AQ64" s="249"/>
      <c r="AR64" s="249"/>
      <c r="AS64" s="249"/>
      <c r="AT64" s="249">
        <v>272739</v>
      </c>
      <c r="AU64" s="249">
        <f t="shared" si="2"/>
        <v>160458.42600000001</v>
      </c>
      <c r="AV64" s="269">
        <f t="shared" si="3"/>
        <v>272739</v>
      </c>
      <c r="AW64" s="269">
        <f t="shared" si="4"/>
        <v>0</v>
      </c>
    </row>
    <row r="65" spans="2:49" s="140" customFormat="1" x14ac:dyDescent="0.25">
      <c r="B65" s="227">
        <v>49</v>
      </c>
      <c r="C65" s="227" t="s">
        <v>39</v>
      </c>
      <c r="D65" s="28">
        <v>40007619</v>
      </c>
      <c r="E65" s="247" t="s">
        <v>1311</v>
      </c>
      <c r="F65" s="247" t="s">
        <v>54</v>
      </c>
      <c r="G65" s="229" t="s">
        <v>1237</v>
      </c>
      <c r="H65" s="247" t="s">
        <v>1312</v>
      </c>
      <c r="I65" s="247" t="s">
        <v>57</v>
      </c>
      <c r="J65" s="248">
        <v>1105460</v>
      </c>
      <c r="K65" s="248">
        <v>259065</v>
      </c>
      <c r="L65" s="248">
        <f t="shared" si="0"/>
        <v>846395</v>
      </c>
      <c r="M65" s="249">
        <v>2736</v>
      </c>
      <c r="N65" s="249">
        <v>688859.48400000005</v>
      </c>
      <c r="O65" s="249">
        <v>1915.2</v>
      </c>
      <c r="P65" s="249"/>
      <c r="Q65" s="249"/>
      <c r="R65" s="249"/>
      <c r="S65" s="249"/>
      <c r="T65" s="249"/>
      <c r="U65" s="249"/>
      <c r="V65" s="249"/>
      <c r="W65" s="249"/>
      <c r="X65" s="249"/>
      <c r="Y65" s="249">
        <f t="shared" si="1"/>
        <v>693510.68400000001</v>
      </c>
      <c r="Z65" s="249">
        <v>846395</v>
      </c>
      <c r="AA65" s="249" t="s">
        <v>1285</v>
      </c>
      <c r="AB65" s="250">
        <v>44221</v>
      </c>
      <c r="AC65" s="251">
        <v>44225</v>
      </c>
      <c r="AD65" s="249"/>
      <c r="AE65" s="249"/>
      <c r="AF65" s="250"/>
      <c r="AG65" s="250"/>
      <c r="AH65" s="249"/>
      <c r="AI65" s="249"/>
      <c r="AJ65" s="250"/>
      <c r="AK65" s="249"/>
      <c r="AL65" s="249"/>
      <c r="AM65" s="249"/>
      <c r="AN65" s="249"/>
      <c r="AO65" s="249"/>
      <c r="AP65" s="249"/>
      <c r="AQ65" s="249"/>
      <c r="AR65" s="249"/>
      <c r="AS65" s="249"/>
      <c r="AT65" s="249">
        <v>846395</v>
      </c>
      <c r="AU65" s="249">
        <f t="shared" si="2"/>
        <v>152884.31599999999</v>
      </c>
      <c r="AV65" s="269">
        <f t="shared" si="3"/>
        <v>846395</v>
      </c>
      <c r="AW65" s="269">
        <f t="shared" si="4"/>
        <v>0</v>
      </c>
    </row>
    <row r="66" spans="2:49" s="140" customFormat="1" ht="22.5" x14ac:dyDescent="0.25">
      <c r="B66" s="227">
        <v>50</v>
      </c>
      <c r="C66" s="227" t="s">
        <v>39</v>
      </c>
      <c r="D66" s="28">
        <v>40017976</v>
      </c>
      <c r="E66" s="247" t="s">
        <v>1313</v>
      </c>
      <c r="F66" s="247" t="s">
        <v>54</v>
      </c>
      <c r="G66" s="229" t="s">
        <v>1237</v>
      </c>
      <c r="H66" s="247" t="s">
        <v>1244</v>
      </c>
      <c r="I66" s="247" t="s">
        <v>57</v>
      </c>
      <c r="J66" s="248">
        <v>1067898</v>
      </c>
      <c r="K66" s="248">
        <v>248477</v>
      </c>
      <c r="L66" s="248">
        <f t="shared" si="0"/>
        <v>819421</v>
      </c>
      <c r="M66" s="249"/>
      <c r="N66" s="249">
        <v>149389.88800000001</v>
      </c>
      <c r="O66" s="249">
        <v>142280.84599999999</v>
      </c>
      <c r="P66" s="249"/>
      <c r="Q66" s="249"/>
      <c r="R66" s="249"/>
      <c r="S66" s="249"/>
      <c r="T66" s="249"/>
      <c r="U66" s="249"/>
      <c r="V66" s="249"/>
      <c r="W66" s="249"/>
      <c r="X66" s="249"/>
      <c r="Y66" s="249">
        <f t="shared" si="1"/>
        <v>291670.734</v>
      </c>
      <c r="Z66" s="249">
        <v>819421</v>
      </c>
      <c r="AA66" s="249" t="s">
        <v>1285</v>
      </c>
      <c r="AB66" s="250">
        <v>44221</v>
      </c>
      <c r="AC66" s="251">
        <v>44225</v>
      </c>
      <c r="AD66" s="249"/>
      <c r="AE66" s="249"/>
      <c r="AF66" s="250"/>
      <c r="AG66" s="250"/>
      <c r="AH66" s="249"/>
      <c r="AI66" s="249"/>
      <c r="AJ66" s="250"/>
      <c r="AK66" s="249"/>
      <c r="AL66" s="249"/>
      <c r="AM66" s="249"/>
      <c r="AN66" s="249"/>
      <c r="AO66" s="249"/>
      <c r="AP66" s="249"/>
      <c r="AQ66" s="249"/>
      <c r="AR66" s="249"/>
      <c r="AS66" s="249"/>
      <c r="AT66" s="249">
        <v>819421</v>
      </c>
      <c r="AU66" s="249">
        <f t="shared" si="2"/>
        <v>527750.26600000006</v>
      </c>
      <c r="AV66" s="269">
        <f t="shared" si="3"/>
        <v>819421</v>
      </c>
      <c r="AW66" s="269">
        <f t="shared" si="4"/>
        <v>0</v>
      </c>
    </row>
    <row r="67" spans="2:49" s="140" customFormat="1" x14ac:dyDescent="0.25">
      <c r="B67" s="227">
        <v>51</v>
      </c>
      <c r="C67" s="227" t="s">
        <v>39</v>
      </c>
      <c r="D67" s="28">
        <v>40000378</v>
      </c>
      <c r="E67" s="247" t="s">
        <v>1314</v>
      </c>
      <c r="F67" s="247" t="s">
        <v>54</v>
      </c>
      <c r="G67" s="229" t="s">
        <v>1237</v>
      </c>
      <c r="H67" s="247" t="s">
        <v>1315</v>
      </c>
      <c r="I67" s="247" t="s">
        <v>57</v>
      </c>
      <c r="J67" s="248">
        <v>526798</v>
      </c>
      <c r="K67" s="248">
        <v>247030</v>
      </c>
      <c r="L67" s="248">
        <f t="shared" si="0"/>
        <v>279768</v>
      </c>
      <c r="M67" s="249"/>
      <c r="N67" s="249"/>
      <c r="O67" s="249">
        <v>30091.504000000001</v>
      </c>
      <c r="P67" s="249"/>
      <c r="Q67" s="249"/>
      <c r="R67" s="249"/>
      <c r="S67" s="249"/>
      <c r="T67" s="249"/>
      <c r="U67" s="249"/>
      <c r="V67" s="249"/>
      <c r="W67" s="249"/>
      <c r="X67" s="249"/>
      <c r="Y67" s="249">
        <f t="shared" si="1"/>
        <v>30091.504000000001</v>
      </c>
      <c r="Z67" s="249">
        <v>279768</v>
      </c>
      <c r="AA67" s="249" t="s">
        <v>1285</v>
      </c>
      <c r="AB67" s="250">
        <v>44221</v>
      </c>
      <c r="AC67" s="251">
        <v>44225</v>
      </c>
      <c r="AD67" s="249"/>
      <c r="AE67" s="249"/>
      <c r="AF67" s="250"/>
      <c r="AG67" s="250"/>
      <c r="AH67" s="249"/>
      <c r="AI67" s="249"/>
      <c r="AJ67" s="250"/>
      <c r="AK67" s="249"/>
      <c r="AL67" s="249"/>
      <c r="AM67" s="249"/>
      <c r="AN67" s="249"/>
      <c r="AO67" s="249"/>
      <c r="AP67" s="249"/>
      <c r="AQ67" s="249"/>
      <c r="AR67" s="249"/>
      <c r="AS67" s="249"/>
      <c r="AT67" s="249">
        <v>279768</v>
      </c>
      <c r="AU67" s="249">
        <f t="shared" si="2"/>
        <v>249676.49599999998</v>
      </c>
      <c r="AV67" s="269">
        <f t="shared" si="3"/>
        <v>279768</v>
      </c>
      <c r="AW67" s="269">
        <f t="shared" si="4"/>
        <v>0</v>
      </c>
    </row>
    <row r="68" spans="2:49" s="140" customFormat="1" ht="22.5" x14ac:dyDescent="0.25">
      <c r="B68" s="227">
        <v>52</v>
      </c>
      <c r="C68" s="227" t="s">
        <v>39</v>
      </c>
      <c r="D68" s="28">
        <v>30388223</v>
      </c>
      <c r="E68" s="247" t="s">
        <v>1316</v>
      </c>
      <c r="F68" s="247" t="s">
        <v>54</v>
      </c>
      <c r="G68" s="229" t="s">
        <v>1237</v>
      </c>
      <c r="H68" s="247" t="s">
        <v>1317</v>
      </c>
      <c r="I68" s="247" t="s">
        <v>57</v>
      </c>
      <c r="J68" s="248">
        <v>250580</v>
      </c>
      <c r="K68" s="248">
        <v>217947</v>
      </c>
      <c r="L68" s="248">
        <f t="shared" si="0"/>
        <v>32633</v>
      </c>
      <c r="M68" s="249"/>
      <c r="N68" s="249"/>
      <c r="O68" s="249"/>
      <c r="P68" s="249"/>
      <c r="Q68" s="249"/>
      <c r="R68" s="249"/>
      <c r="S68" s="249"/>
      <c r="T68" s="249"/>
      <c r="U68" s="249"/>
      <c r="V68" s="249"/>
      <c r="W68" s="249"/>
      <c r="X68" s="249"/>
      <c r="Y68" s="249">
        <f t="shared" si="1"/>
        <v>0</v>
      </c>
      <c r="Z68" s="249">
        <v>32632</v>
      </c>
      <c r="AA68" s="249" t="s">
        <v>1285</v>
      </c>
      <c r="AB68" s="250">
        <v>44221</v>
      </c>
      <c r="AC68" s="251">
        <v>44225</v>
      </c>
      <c r="AD68" s="249"/>
      <c r="AE68" s="249"/>
      <c r="AF68" s="250"/>
      <c r="AG68" s="250"/>
      <c r="AH68" s="249"/>
      <c r="AI68" s="249"/>
      <c r="AJ68" s="250"/>
      <c r="AK68" s="249"/>
      <c r="AL68" s="249"/>
      <c r="AM68" s="249"/>
      <c r="AN68" s="249"/>
      <c r="AO68" s="249"/>
      <c r="AP68" s="249"/>
      <c r="AQ68" s="249"/>
      <c r="AR68" s="249"/>
      <c r="AS68" s="249"/>
      <c r="AT68" s="249">
        <v>32632</v>
      </c>
      <c r="AU68" s="249">
        <f t="shared" si="2"/>
        <v>32632</v>
      </c>
      <c r="AV68" s="269">
        <f t="shared" si="3"/>
        <v>32632</v>
      </c>
      <c r="AW68" s="269">
        <f t="shared" si="4"/>
        <v>0</v>
      </c>
    </row>
    <row r="69" spans="2:49" s="140" customFormat="1" ht="22.5" x14ac:dyDescent="0.25">
      <c r="B69" s="227">
        <v>53</v>
      </c>
      <c r="C69" s="227" t="s">
        <v>39</v>
      </c>
      <c r="D69" s="28">
        <v>40001444</v>
      </c>
      <c r="E69" s="247" t="s">
        <v>1318</v>
      </c>
      <c r="F69" s="247" t="s">
        <v>54</v>
      </c>
      <c r="G69" s="229" t="s">
        <v>1237</v>
      </c>
      <c r="H69" s="247" t="s">
        <v>1319</v>
      </c>
      <c r="I69" s="247" t="s">
        <v>57</v>
      </c>
      <c r="J69" s="248">
        <v>742904</v>
      </c>
      <c r="K69" s="248">
        <v>194166</v>
      </c>
      <c r="L69" s="248">
        <f t="shared" si="0"/>
        <v>548738</v>
      </c>
      <c r="M69" s="249"/>
      <c r="N69" s="249"/>
      <c r="O69" s="249">
        <v>27592.923999999999</v>
      </c>
      <c r="P69" s="249"/>
      <c r="Q69" s="249"/>
      <c r="R69" s="249"/>
      <c r="S69" s="249"/>
      <c r="T69" s="249"/>
      <c r="U69" s="249"/>
      <c r="V69" s="249"/>
      <c r="W69" s="249"/>
      <c r="X69" s="249"/>
      <c r="Y69" s="249">
        <f t="shared" si="1"/>
        <v>27592.923999999999</v>
      </c>
      <c r="Z69" s="249">
        <v>548738</v>
      </c>
      <c r="AA69" s="249" t="s">
        <v>1285</v>
      </c>
      <c r="AB69" s="250">
        <v>44221</v>
      </c>
      <c r="AC69" s="251">
        <v>44225</v>
      </c>
      <c r="AD69" s="249"/>
      <c r="AE69" s="249"/>
      <c r="AF69" s="250"/>
      <c r="AG69" s="250"/>
      <c r="AH69" s="249"/>
      <c r="AI69" s="249"/>
      <c r="AJ69" s="250"/>
      <c r="AK69" s="249"/>
      <c r="AL69" s="249"/>
      <c r="AM69" s="249"/>
      <c r="AN69" s="249"/>
      <c r="AO69" s="249"/>
      <c r="AP69" s="249"/>
      <c r="AQ69" s="249"/>
      <c r="AR69" s="249"/>
      <c r="AS69" s="249"/>
      <c r="AT69" s="249">
        <v>548738</v>
      </c>
      <c r="AU69" s="249">
        <f t="shared" si="2"/>
        <v>521145.076</v>
      </c>
      <c r="AV69" s="269">
        <f t="shared" si="3"/>
        <v>548738</v>
      </c>
      <c r="AW69" s="269">
        <f t="shared" si="4"/>
        <v>0</v>
      </c>
    </row>
    <row r="70" spans="2:49" s="140" customFormat="1" ht="22.5" x14ac:dyDescent="0.25">
      <c r="B70" s="227">
        <v>54</v>
      </c>
      <c r="C70" s="227" t="s">
        <v>39</v>
      </c>
      <c r="D70" s="28">
        <v>30486584</v>
      </c>
      <c r="E70" s="247" t="s">
        <v>1320</v>
      </c>
      <c r="F70" s="247" t="s">
        <v>54</v>
      </c>
      <c r="G70" s="229" t="s">
        <v>1237</v>
      </c>
      <c r="H70" s="247" t="s">
        <v>1315</v>
      </c>
      <c r="I70" s="247" t="s">
        <v>57</v>
      </c>
      <c r="J70" s="248">
        <v>245082</v>
      </c>
      <c r="K70" s="248">
        <v>172678</v>
      </c>
      <c r="L70" s="248">
        <f t="shared" si="0"/>
        <v>72404</v>
      </c>
      <c r="M70" s="249"/>
      <c r="N70" s="249"/>
      <c r="O70" s="249"/>
      <c r="P70" s="249"/>
      <c r="Q70" s="249"/>
      <c r="R70" s="249"/>
      <c r="S70" s="249"/>
      <c r="T70" s="249"/>
      <c r="U70" s="249"/>
      <c r="V70" s="249"/>
      <c r="W70" s="249"/>
      <c r="X70" s="249"/>
      <c r="Y70" s="249">
        <f t="shared" si="1"/>
        <v>0</v>
      </c>
      <c r="Z70" s="249">
        <v>72404</v>
      </c>
      <c r="AA70" s="249" t="s">
        <v>1285</v>
      </c>
      <c r="AB70" s="250">
        <v>44221</v>
      </c>
      <c r="AC70" s="251">
        <v>44225</v>
      </c>
      <c r="AD70" s="249"/>
      <c r="AE70" s="249"/>
      <c r="AF70" s="250"/>
      <c r="AG70" s="250"/>
      <c r="AH70" s="249"/>
      <c r="AI70" s="249"/>
      <c r="AJ70" s="250"/>
      <c r="AK70" s="249"/>
      <c r="AL70" s="249"/>
      <c r="AM70" s="249"/>
      <c r="AN70" s="249"/>
      <c r="AO70" s="249"/>
      <c r="AP70" s="249"/>
      <c r="AQ70" s="249"/>
      <c r="AR70" s="249"/>
      <c r="AS70" s="249"/>
      <c r="AT70" s="249">
        <v>72404</v>
      </c>
      <c r="AU70" s="249">
        <f t="shared" si="2"/>
        <v>72404</v>
      </c>
      <c r="AV70" s="269">
        <f t="shared" si="3"/>
        <v>72404</v>
      </c>
      <c r="AW70" s="269">
        <f t="shared" si="4"/>
        <v>0</v>
      </c>
    </row>
    <row r="71" spans="2:49" s="140" customFormat="1" ht="22.5" x14ac:dyDescent="0.25">
      <c r="B71" s="227">
        <v>55</v>
      </c>
      <c r="C71" s="227" t="s">
        <v>39</v>
      </c>
      <c r="D71" s="28">
        <v>30436672</v>
      </c>
      <c r="E71" s="247" t="s">
        <v>1321</v>
      </c>
      <c r="F71" s="247" t="s">
        <v>54</v>
      </c>
      <c r="G71" s="229" t="s">
        <v>1237</v>
      </c>
      <c r="H71" s="247" t="s">
        <v>1322</v>
      </c>
      <c r="I71" s="247" t="s">
        <v>57</v>
      </c>
      <c r="J71" s="248">
        <v>561546</v>
      </c>
      <c r="K71" s="248">
        <v>405508</v>
      </c>
      <c r="L71" s="248">
        <f t="shared" si="0"/>
        <v>156038</v>
      </c>
      <c r="M71" s="249"/>
      <c r="N71" s="249"/>
      <c r="O71" s="249"/>
      <c r="P71" s="249"/>
      <c r="Q71" s="249"/>
      <c r="R71" s="249"/>
      <c r="S71" s="249"/>
      <c r="T71" s="249"/>
      <c r="U71" s="249"/>
      <c r="V71" s="249"/>
      <c r="W71" s="249"/>
      <c r="X71" s="249"/>
      <c r="Y71" s="249">
        <f t="shared" si="1"/>
        <v>0</v>
      </c>
      <c r="Z71" s="249">
        <v>156038</v>
      </c>
      <c r="AA71" s="249" t="s">
        <v>1285</v>
      </c>
      <c r="AB71" s="250">
        <v>44221</v>
      </c>
      <c r="AC71" s="251">
        <v>44225</v>
      </c>
      <c r="AD71" s="249"/>
      <c r="AE71" s="249"/>
      <c r="AF71" s="250"/>
      <c r="AG71" s="250"/>
      <c r="AH71" s="249"/>
      <c r="AI71" s="249"/>
      <c r="AJ71" s="250"/>
      <c r="AK71" s="249"/>
      <c r="AL71" s="249"/>
      <c r="AM71" s="249"/>
      <c r="AN71" s="249"/>
      <c r="AO71" s="249"/>
      <c r="AP71" s="249"/>
      <c r="AQ71" s="249"/>
      <c r="AR71" s="249"/>
      <c r="AS71" s="249"/>
      <c r="AT71" s="249">
        <v>156038</v>
      </c>
      <c r="AU71" s="249">
        <f t="shared" si="2"/>
        <v>156038</v>
      </c>
      <c r="AV71" s="269">
        <f t="shared" si="3"/>
        <v>156038</v>
      </c>
      <c r="AW71" s="269">
        <f t="shared" si="4"/>
        <v>0</v>
      </c>
    </row>
    <row r="72" spans="2:49" s="140" customFormat="1" x14ac:dyDescent="0.25">
      <c r="B72" s="227">
        <v>56</v>
      </c>
      <c r="C72" s="227" t="s">
        <v>39</v>
      </c>
      <c r="D72" s="28">
        <v>30347022</v>
      </c>
      <c r="E72" s="247" t="s">
        <v>1323</v>
      </c>
      <c r="F72" s="247" t="s">
        <v>54</v>
      </c>
      <c r="G72" s="229" t="s">
        <v>1237</v>
      </c>
      <c r="H72" s="247" t="s">
        <v>1294</v>
      </c>
      <c r="I72" s="247" t="s">
        <v>57</v>
      </c>
      <c r="J72" s="248">
        <v>449279</v>
      </c>
      <c r="K72" s="248">
        <v>416373</v>
      </c>
      <c r="L72" s="248">
        <f t="shared" si="0"/>
        <v>32906</v>
      </c>
      <c r="M72" s="249"/>
      <c r="N72" s="249">
        <v>4800</v>
      </c>
      <c r="O72" s="249"/>
      <c r="P72" s="249"/>
      <c r="Q72" s="249"/>
      <c r="R72" s="249"/>
      <c r="S72" s="249"/>
      <c r="T72" s="249"/>
      <c r="U72" s="249"/>
      <c r="V72" s="249"/>
      <c r="W72" s="249"/>
      <c r="X72" s="249"/>
      <c r="Y72" s="249">
        <f t="shared" si="1"/>
        <v>4800</v>
      </c>
      <c r="Z72" s="249">
        <v>32906</v>
      </c>
      <c r="AA72" s="249" t="s">
        <v>1285</v>
      </c>
      <c r="AB72" s="250">
        <v>44221</v>
      </c>
      <c r="AC72" s="251">
        <v>44225</v>
      </c>
      <c r="AD72" s="249"/>
      <c r="AE72" s="249"/>
      <c r="AF72" s="250"/>
      <c r="AG72" s="250"/>
      <c r="AH72" s="249"/>
      <c r="AI72" s="249"/>
      <c r="AJ72" s="250"/>
      <c r="AK72" s="249"/>
      <c r="AL72" s="249"/>
      <c r="AM72" s="249"/>
      <c r="AN72" s="249"/>
      <c r="AO72" s="249"/>
      <c r="AP72" s="249"/>
      <c r="AQ72" s="249"/>
      <c r="AR72" s="249"/>
      <c r="AS72" s="249"/>
      <c r="AT72" s="249">
        <v>32906</v>
      </c>
      <c r="AU72" s="249">
        <f t="shared" si="2"/>
        <v>28106</v>
      </c>
      <c r="AV72" s="269">
        <f t="shared" si="3"/>
        <v>32906</v>
      </c>
      <c r="AW72" s="269">
        <f t="shared" si="4"/>
        <v>0</v>
      </c>
    </row>
    <row r="73" spans="2:49" s="140" customFormat="1" ht="22.5" x14ac:dyDescent="0.25">
      <c r="B73" s="227">
        <v>57</v>
      </c>
      <c r="C73" s="227" t="s">
        <v>39</v>
      </c>
      <c r="D73" s="28">
        <v>30124753</v>
      </c>
      <c r="E73" s="247" t="s">
        <v>1324</v>
      </c>
      <c r="F73" s="247" t="s">
        <v>54</v>
      </c>
      <c r="G73" s="229" t="s">
        <v>1237</v>
      </c>
      <c r="H73" s="247" t="s">
        <v>1237</v>
      </c>
      <c r="I73" s="247" t="s">
        <v>57</v>
      </c>
      <c r="J73" s="248">
        <v>530475</v>
      </c>
      <c r="K73" s="248">
        <v>513072</v>
      </c>
      <c r="L73" s="248">
        <f t="shared" si="0"/>
        <v>17403</v>
      </c>
      <c r="M73" s="249">
        <v>2256.7640000000001</v>
      </c>
      <c r="N73" s="249"/>
      <c r="O73" s="249"/>
      <c r="P73" s="249"/>
      <c r="Q73" s="249"/>
      <c r="R73" s="249"/>
      <c r="S73" s="249"/>
      <c r="T73" s="249"/>
      <c r="U73" s="249"/>
      <c r="V73" s="249"/>
      <c r="W73" s="249"/>
      <c r="X73" s="249"/>
      <c r="Y73" s="249">
        <f t="shared" si="1"/>
        <v>2256.7640000000001</v>
      </c>
      <c r="Z73" s="249">
        <v>17401</v>
      </c>
      <c r="AA73" s="249" t="s">
        <v>1285</v>
      </c>
      <c r="AB73" s="250">
        <v>44221</v>
      </c>
      <c r="AC73" s="251">
        <v>44225</v>
      </c>
      <c r="AD73" s="249"/>
      <c r="AE73" s="249"/>
      <c r="AF73" s="250"/>
      <c r="AG73" s="250"/>
      <c r="AH73" s="249"/>
      <c r="AI73" s="249"/>
      <c r="AJ73" s="250"/>
      <c r="AK73" s="249"/>
      <c r="AL73" s="249"/>
      <c r="AM73" s="249"/>
      <c r="AN73" s="249"/>
      <c r="AO73" s="249"/>
      <c r="AP73" s="249"/>
      <c r="AQ73" s="249"/>
      <c r="AR73" s="249"/>
      <c r="AS73" s="249"/>
      <c r="AT73" s="249">
        <v>17401</v>
      </c>
      <c r="AU73" s="249">
        <f t="shared" si="2"/>
        <v>15144.236000000001</v>
      </c>
      <c r="AV73" s="269">
        <f t="shared" si="3"/>
        <v>17401</v>
      </c>
      <c r="AW73" s="269">
        <f t="shared" si="4"/>
        <v>0</v>
      </c>
    </row>
    <row r="74" spans="2:49" s="140" customFormat="1" x14ac:dyDescent="0.25">
      <c r="B74" s="227">
        <v>58</v>
      </c>
      <c r="C74" s="227" t="s">
        <v>39</v>
      </c>
      <c r="D74" s="28">
        <v>30477693</v>
      </c>
      <c r="E74" s="247" t="s">
        <v>1325</v>
      </c>
      <c r="F74" s="247" t="s">
        <v>54</v>
      </c>
      <c r="G74" s="229" t="s">
        <v>1237</v>
      </c>
      <c r="H74" s="247" t="s">
        <v>1238</v>
      </c>
      <c r="I74" s="247" t="s">
        <v>57</v>
      </c>
      <c r="J74" s="248">
        <v>576659</v>
      </c>
      <c r="K74" s="248">
        <v>243751</v>
      </c>
      <c r="L74" s="248">
        <f t="shared" si="0"/>
        <v>332908</v>
      </c>
      <c r="M74" s="249"/>
      <c r="N74" s="249"/>
      <c r="O74" s="249"/>
      <c r="P74" s="249"/>
      <c r="Q74" s="249"/>
      <c r="R74" s="249"/>
      <c r="S74" s="249"/>
      <c r="T74" s="249"/>
      <c r="U74" s="249"/>
      <c r="V74" s="249"/>
      <c r="W74" s="249"/>
      <c r="X74" s="249"/>
      <c r="Y74" s="249">
        <f t="shared" si="1"/>
        <v>0</v>
      </c>
      <c r="Z74" s="249">
        <v>332908</v>
      </c>
      <c r="AA74" s="249" t="s">
        <v>1285</v>
      </c>
      <c r="AB74" s="250">
        <v>44221</v>
      </c>
      <c r="AC74" s="251">
        <v>44225</v>
      </c>
      <c r="AD74" s="249"/>
      <c r="AE74" s="249"/>
      <c r="AF74" s="250"/>
      <c r="AG74" s="250"/>
      <c r="AH74" s="249"/>
      <c r="AI74" s="249"/>
      <c r="AJ74" s="250"/>
      <c r="AK74" s="249"/>
      <c r="AL74" s="249"/>
      <c r="AM74" s="249"/>
      <c r="AN74" s="249"/>
      <c r="AO74" s="249"/>
      <c r="AP74" s="249"/>
      <c r="AQ74" s="249"/>
      <c r="AR74" s="249"/>
      <c r="AS74" s="249"/>
      <c r="AT74" s="249">
        <v>332908</v>
      </c>
      <c r="AU74" s="249">
        <f t="shared" si="2"/>
        <v>332908</v>
      </c>
      <c r="AV74" s="269">
        <f t="shared" si="3"/>
        <v>332908</v>
      </c>
      <c r="AW74" s="269">
        <f t="shared" si="4"/>
        <v>0</v>
      </c>
    </row>
    <row r="75" spans="2:49" s="140" customFormat="1" ht="22.5" x14ac:dyDescent="0.25">
      <c r="B75" s="227">
        <v>59</v>
      </c>
      <c r="C75" s="227" t="s">
        <v>39</v>
      </c>
      <c r="D75" s="28">
        <v>40002892</v>
      </c>
      <c r="E75" s="247" t="s">
        <v>1326</v>
      </c>
      <c r="F75" s="247" t="s">
        <v>54</v>
      </c>
      <c r="G75" s="229" t="s">
        <v>1237</v>
      </c>
      <c r="H75" s="247" t="s">
        <v>1262</v>
      </c>
      <c r="I75" s="247" t="s">
        <v>57</v>
      </c>
      <c r="J75" s="248">
        <v>208262</v>
      </c>
      <c r="K75" s="248">
        <v>126694</v>
      </c>
      <c r="L75" s="248">
        <f t="shared" si="0"/>
        <v>81568</v>
      </c>
      <c r="M75" s="249"/>
      <c r="N75" s="249"/>
      <c r="O75" s="249">
        <v>14656.097</v>
      </c>
      <c r="P75" s="249"/>
      <c r="Q75" s="249"/>
      <c r="R75" s="249"/>
      <c r="S75" s="249"/>
      <c r="T75" s="249"/>
      <c r="U75" s="249"/>
      <c r="V75" s="249"/>
      <c r="W75" s="249"/>
      <c r="X75" s="249"/>
      <c r="Y75" s="249">
        <f t="shared" si="1"/>
        <v>14656.097</v>
      </c>
      <c r="Z75" s="249">
        <v>81568</v>
      </c>
      <c r="AA75" s="249" t="s">
        <v>1285</v>
      </c>
      <c r="AB75" s="250">
        <v>44221</v>
      </c>
      <c r="AC75" s="251">
        <v>44225</v>
      </c>
      <c r="AD75" s="249"/>
      <c r="AE75" s="249"/>
      <c r="AF75" s="250"/>
      <c r="AG75" s="250"/>
      <c r="AH75" s="249"/>
      <c r="AI75" s="249"/>
      <c r="AJ75" s="250"/>
      <c r="AK75" s="249"/>
      <c r="AL75" s="249"/>
      <c r="AM75" s="249"/>
      <c r="AN75" s="249"/>
      <c r="AO75" s="249"/>
      <c r="AP75" s="249"/>
      <c r="AQ75" s="249"/>
      <c r="AR75" s="249"/>
      <c r="AS75" s="249"/>
      <c r="AT75" s="249">
        <v>81568</v>
      </c>
      <c r="AU75" s="249">
        <f t="shared" si="2"/>
        <v>66911.903000000006</v>
      </c>
      <c r="AV75" s="269">
        <f t="shared" si="3"/>
        <v>81568</v>
      </c>
      <c r="AW75" s="269">
        <f t="shared" si="4"/>
        <v>0</v>
      </c>
    </row>
    <row r="76" spans="2:49" s="140" customFormat="1" ht="22.5" x14ac:dyDescent="0.25">
      <c r="B76" s="227">
        <v>60</v>
      </c>
      <c r="C76" s="227" t="s">
        <v>39</v>
      </c>
      <c r="D76" s="28">
        <v>30086944</v>
      </c>
      <c r="E76" s="247" t="s">
        <v>1327</v>
      </c>
      <c r="F76" s="247" t="s">
        <v>54</v>
      </c>
      <c r="G76" s="229" t="s">
        <v>1237</v>
      </c>
      <c r="H76" s="247" t="s">
        <v>1307</v>
      </c>
      <c r="I76" s="247" t="s">
        <v>57</v>
      </c>
      <c r="J76" s="248">
        <v>792960</v>
      </c>
      <c r="K76" s="248">
        <v>754335</v>
      </c>
      <c r="L76" s="248">
        <f t="shared" si="0"/>
        <v>38625</v>
      </c>
      <c r="M76" s="249"/>
      <c r="N76" s="249"/>
      <c r="O76" s="249"/>
      <c r="P76" s="249"/>
      <c r="Q76" s="249"/>
      <c r="R76" s="249"/>
      <c r="S76" s="249"/>
      <c r="T76" s="249"/>
      <c r="U76" s="249"/>
      <c r="V76" s="249"/>
      <c r="W76" s="249"/>
      <c r="X76" s="249"/>
      <c r="Y76" s="249">
        <f t="shared" si="1"/>
        <v>0</v>
      </c>
      <c r="Z76" s="249">
        <v>38625</v>
      </c>
      <c r="AA76" s="249" t="s">
        <v>1285</v>
      </c>
      <c r="AB76" s="250">
        <v>44221</v>
      </c>
      <c r="AC76" s="251">
        <v>44225</v>
      </c>
      <c r="AD76" s="249"/>
      <c r="AE76" s="249"/>
      <c r="AF76" s="250"/>
      <c r="AG76" s="250"/>
      <c r="AH76" s="249"/>
      <c r="AI76" s="249"/>
      <c r="AJ76" s="250"/>
      <c r="AK76" s="249"/>
      <c r="AL76" s="249"/>
      <c r="AM76" s="249"/>
      <c r="AN76" s="249"/>
      <c r="AO76" s="249"/>
      <c r="AP76" s="249"/>
      <c r="AQ76" s="249"/>
      <c r="AR76" s="249"/>
      <c r="AS76" s="249"/>
      <c r="AT76" s="249">
        <v>38625</v>
      </c>
      <c r="AU76" s="249">
        <f t="shared" si="2"/>
        <v>38625</v>
      </c>
      <c r="AV76" s="269">
        <f t="shared" si="3"/>
        <v>38625</v>
      </c>
      <c r="AW76" s="269">
        <f t="shared" si="4"/>
        <v>0</v>
      </c>
    </row>
    <row r="77" spans="2:49" s="140" customFormat="1" ht="22.5" x14ac:dyDescent="0.25">
      <c r="B77" s="227">
        <v>61</v>
      </c>
      <c r="C77" s="227" t="s">
        <v>39</v>
      </c>
      <c r="D77" s="28">
        <v>40007750</v>
      </c>
      <c r="E77" s="247" t="s">
        <v>1328</v>
      </c>
      <c r="F77" s="247" t="s">
        <v>54</v>
      </c>
      <c r="G77" s="229" t="s">
        <v>1237</v>
      </c>
      <c r="H77" s="247" t="s">
        <v>1329</v>
      </c>
      <c r="I77" s="247" t="s">
        <v>57</v>
      </c>
      <c r="J77" s="248">
        <v>699008</v>
      </c>
      <c r="K77" s="248">
        <v>109175</v>
      </c>
      <c r="L77" s="248">
        <f t="shared" si="0"/>
        <v>589833</v>
      </c>
      <c r="M77" s="249">
        <v>6055.8119999999999</v>
      </c>
      <c r="N77" s="249">
        <v>250966.24600000001</v>
      </c>
      <c r="O77" s="249"/>
      <c r="P77" s="249"/>
      <c r="Q77" s="249"/>
      <c r="R77" s="249"/>
      <c r="S77" s="249"/>
      <c r="T77" s="249"/>
      <c r="U77" s="249"/>
      <c r="V77" s="249"/>
      <c r="W77" s="249"/>
      <c r="X77" s="249"/>
      <c r="Y77" s="249">
        <f t="shared" si="1"/>
        <v>257022.05800000002</v>
      </c>
      <c r="Z77" s="249">
        <v>589833</v>
      </c>
      <c r="AA77" s="249" t="s">
        <v>1285</v>
      </c>
      <c r="AB77" s="250">
        <v>44221</v>
      </c>
      <c r="AC77" s="251">
        <v>44225</v>
      </c>
      <c r="AD77" s="249"/>
      <c r="AE77" s="249"/>
      <c r="AF77" s="250"/>
      <c r="AG77" s="250"/>
      <c r="AH77" s="249"/>
      <c r="AI77" s="249"/>
      <c r="AJ77" s="250"/>
      <c r="AK77" s="249"/>
      <c r="AL77" s="249"/>
      <c r="AM77" s="249"/>
      <c r="AN77" s="249"/>
      <c r="AO77" s="249"/>
      <c r="AP77" s="249"/>
      <c r="AQ77" s="249"/>
      <c r="AR77" s="249"/>
      <c r="AS77" s="249"/>
      <c r="AT77" s="249">
        <v>589833</v>
      </c>
      <c r="AU77" s="249">
        <f t="shared" si="2"/>
        <v>332810.94199999998</v>
      </c>
      <c r="AV77" s="269">
        <f t="shared" si="3"/>
        <v>589833</v>
      </c>
      <c r="AW77" s="269">
        <f t="shared" si="4"/>
        <v>0</v>
      </c>
    </row>
    <row r="78" spans="2:49" s="140" customFormat="1" ht="22.5" x14ac:dyDescent="0.25">
      <c r="B78" s="227">
        <v>62</v>
      </c>
      <c r="C78" s="227" t="s">
        <v>42</v>
      </c>
      <c r="D78" s="28">
        <v>40005147</v>
      </c>
      <c r="E78" s="247" t="s">
        <v>1330</v>
      </c>
      <c r="F78" s="247" t="s">
        <v>54</v>
      </c>
      <c r="G78" s="229" t="s">
        <v>1237</v>
      </c>
      <c r="H78" s="247" t="s">
        <v>1331</v>
      </c>
      <c r="I78" s="247" t="s">
        <v>57</v>
      </c>
      <c r="J78" s="248">
        <v>37290</v>
      </c>
      <c r="K78" s="248">
        <v>13190</v>
      </c>
      <c r="L78" s="248">
        <f t="shared" si="0"/>
        <v>24100</v>
      </c>
      <c r="M78" s="249"/>
      <c r="N78" s="249"/>
      <c r="O78" s="249"/>
      <c r="P78" s="249"/>
      <c r="Q78" s="249"/>
      <c r="R78" s="249"/>
      <c r="S78" s="249"/>
      <c r="T78" s="249"/>
      <c r="U78" s="249"/>
      <c r="V78" s="249"/>
      <c r="W78" s="249"/>
      <c r="X78" s="249"/>
      <c r="Y78" s="249">
        <f t="shared" si="1"/>
        <v>0</v>
      </c>
      <c r="Z78" s="249">
        <v>24100</v>
      </c>
      <c r="AA78" s="249" t="s">
        <v>1285</v>
      </c>
      <c r="AB78" s="250">
        <v>44221</v>
      </c>
      <c r="AC78" s="251">
        <v>44225</v>
      </c>
      <c r="AD78" s="249"/>
      <c r="AE78" s="249"/>
      <c r="AF78" s="250"/>
      <c r="AG78" s="250"/>
      <c r="AH78" s="249"/>
      <c r="AI78" s="249"/>
      <c r="AJ78" s="250"/>
      <c r="AK78" s="249"/>
      <c r="AL78" s="249"/>
      <c r="AM78" s="249"/>
      <c r="AN78" s="249"/>
      <c r="AO78" s="249"/>
      <c r="AP78" s="249"/>
      <c r="AQ78" s="249"/>
      <c r="AR78" s="249"/>
      <c r="AS78" s="249"/>
      <c r="AT78" s="249">
        <v>24100</v>
      </c>
      <c r="AU78" s="249">
        <f t="shared" si="2"/>
        <v>24100</v>
      </c>
      <c r="AV78" s="269">
        <f t="shared" si="3"/>
        <v>24100</v>
      </c>
      <c r="AW78" s="269">
        <f t="shared" si="4"/>
        <v>0</v>
      </c>
    </row>
    <row r="79" spans="2:49" s="140" customFormat="1" ht="22.5" x14ac:dyDescent="0.25">
      <c r="B79" s="227">
        <v>63</v>
      </c>
      <c r="C79" s="227" t="s">
        <v>39</v>
      </c>
      <c r="D79" s="28">
        <v>40011201</v>
      </c>
      <c r="E79" s="247" t="s">
        <v>1332</v>
      </c>
      <c r="F79" s="247" t="s">
        <v>54</v>
      </c>
      <c r="G79" s="229" t="s">
        <v>1237</v>
      </c>
      <c r="H79" s="247" t="s">
        <v>1331</v>
      </c>
      <c r="I79" s="247" t="s">
        <v>57</v>
      </c>
      <c r="J79" s="248">
        <v>508156</v>
      </c>
      <c r="K79" s="248">
        <v>25652</v>
      </c>
      <c r="L79" s="248">
        <f t="shared" si="0"/>
        <v>482504</v>
      </c>
      <c r="M79" s="249"/>
      <c r="N79" s="249">
        <v>41677.296999999999</v>
      </c>
      <c r="O79" s="249">
        <v>16159.04</v>
      </c>
      <c r="P79" s="249"/>
      <c r="Q79" s="249"/>
      <c r="R79" s="249"/>
      <c r="S79" s="249"/>
      <c r="T79" s="249"/>
      <c r="U79" s="249"/>
      <c r="V79" s="249"/>
      <c r="W79" s="249"/>
      <c r="X79" s="249"/>
      <c r="Y79" s="249">
        <f t="shared" si="1"/>
        <v>57836.337</v>
      </c>
      <c r="Z79" s="249">
        <v>482504</v>
      </c>
      <c r="AA79" s="249" t="s">
        <v>1285</v>
      </c>
      <c r="AB79" s="250">
        <v>44221</v>
      </c>
      <c r="AC79" s="251">
        <v>44225</v>
      </c>
      <c r="AD79" s="249"/>
      <c r="AE79" s="249"/>
      <c r="AF79" s="250"/>
      <c r="AG79" s="250"/>
      <c r="AH79" s="249"/>
      <c r="AI79" s="249"/>
      <c r="AJ79" s="250"/>
      <c r="AK79" s="249"/>
      <c r="AL79" s="249"/>
      <c r="AM79" s="249"/>
      <c r="AN79" s="249"/>
      <c r="AO79" s="249"/>
      <c r="AP79" s="249"/>
      <c r="AQ79" s="249"/>
      <c r="AR79" s="249"/>
      <c r="AS79" s="249"/>
      <c r="AT79" s="249">
        <v>482504</v>
      </c>
      <c r="AU79" s="249">
        <f t="shared" si="2"/>
        <v>424667.663</v>
      </c>
      <c r="AV79" s="269">
        <f t="shared" si="3"/>
        <v>482504</v>
      </c>
      <c r="AW79" s="269">
        <f t="shared" si="4"/>
        <v>0</v>
      </c>
    </row>
    <row r="80" spans="2:49" s="140" customFormat="1" x14ac:dyDescent="0.25">
      <c r="B80" s="227">
        <v>64</v>
      </c>
      <c r="C80" s="227" t="s">
        <v>39</v>
      </c>
      <c r="D80" s="28">
        <v>40006613</v>
      </c>
      <c r="E80" s="247" t="s">
        <v>1333</v>
      </c>
      <c r="F80" s="247" t="s">
        <v>54</v>
      </c>
      <c r="G80" s="229" t="s">
        <v>1237</v>
      </c>
      <c r="H80" s="247" t="s">
        <v>1331</v>
      </c>
      <c r="I80" s="247" t="s">
        <v>57</v>
      </c>
      <c r="J80" s="248">
        <v>452730</v>
      </c>
      <c r="K80" s="248">
        <v>3067</v>
      </c>
      <c r="L80" s="248">
        <f t="shared" si="0"/>
        <v>449663</v>
      </c>
      <c r="M80" s="249"/>
      <c r="N80" s="249">
        <v>1500</v>
      </c>
      <c r="O80" s="249">
        <v>23992.017</v>
      </c>
      <c r="P80" s="249"/>
      <c r="Q80" s="249"/>
      <c r="R80" s="249"/>
      <c r="S80" s="249"/>
      <c r="T80" s="249"/>
      <c r="U80" s="249"/>
      <c r="V80" s="249"/>
      <c r="W80" s="249"/>
      <c r="X80" s="249"/>
      <c r="Y80" s="249">
        <f t="shared" si="1"/>
        <v>25492.017</v>
      </c>
      <c r="Z80" s="249">
        <v>449663</v>
      </c>
      <c r="AA80" s="249" t="s">
        <v>1285</v>
      </c>
      <c r="AB80" s="250">
        <v>44221</v>
      </c>
      <c r="AC80" s="251">
        <v>44225</v>
      </c>
      <c r="AD80" s="249"/>
      <c r="AE80" s="249"/>
      <c r="AF80" s="250"/>
      <c r="AG80" s="250"/>
      <c r="AH80" s="249"/>
      <c r="AI80" s="249"/>
      <c r="AJ80" s="250"/>
      <c r="AK80" s="249"/>
      <c r="AL80" s="249"/>
      <c r="AM80" s="249"/>
      <c r="AN80" s="249"/>
      <c r="AO80" s="249"/>
      <c r="AP80" s="249"/>
      <c r="AQ80" s="249"/>
      <c r="AR80" s="249"/>
      <c r="AS80" s="249"/>
      <c r="AT80" s="249">
        <v>449663</v>
      </c>
      <c r="AU80" s="249">
        <f t="shared" si="2"/>
        <v>424170.98300000001</v>
      </c>
      <c r="AV80" s="269">
        <f t="shared" si="3"/>
        <v>449663</v>
      </c>
      <c r="AW80" s="269">
        <f t="shared" si="4"/>
        <v>0</v>
      </c>
    </row>
    <row r="81" spans="2:49" s="140" customFormat="1" ht="22.5" x14ac:dyDescent="0.25">
      <c r="B81" s="227">
        <v>65</v>
      </c>
      <c r="C81" s="227" t="s">
        <v>39</v>
      </c>
      <c r="D81" s="28">
        <v>30240624</v>
      </c>
      <c r="E81" s="247" t="s">
        <v>1334</v>
      </c>
      <c r="F81" s="247" t="s">
        <v>54</v>
      </c>
      <c r="G81" s="229" t="s">
        <v>1237</v>
      </c>
      <c r="H81" s="247" t="s">
        <v>1260</v>
      </c>
      <c r="I81" s="247" t="s">
        <v>57</v>
      </c>
      <c r="J81" s="248">
        <v>2365836</v>
      </c>
      <c r="K81" s="248">
        <v>2226197</v>
      </c>
      <c r="L81" s="248">
        <f t="shared" si="0"/>
        <v>139639</v>
      </c>
      <c r="M81" s="249"/>
      <c r="N81" s="249"/>
      <c r="O81" s="249"/>
      <c r="P81" s="249"/>
      <c r="Q81" s="249"/>
      <c r="R81" s="249"/>
      <c r="S81" s="249"/>
      <c r="T81" s="249"/>
      <c r="U81" s="249"/>
      <c r="V81" s="249"/>
      <c r="W81" s="249"/>
      <c r="X81" s="249"/>
      <c r="Y81" s="249">
        <f t="shared" si="1"/>
        <v>0</v>
      </c>
      <c r="Z81" s="249">
        <v>139639</v>
      </c>
      <c r="AA81" s="249" t="s">
        <v>1285</v>
      </c>
      <c r="AB81" s="250">
        <v>44221</v>
      </c>
      <c r="AC81" s="251">
        <v>44225</v>
      </c>
      <c r="AD81" s="249"/>
      <c r="AE81" s="249"/>
      <c r="AF81" s="250"/>
      <c r="AG81" s="250"/>
      <c r="AH81" s="249"/>
      <c r="AI81" s="249"/>
      <c r="AJ81" s="250"/>
      <c r="AK81" s="249"/>
      <c r="AL81" s="249"/>
      <c r="AM81" s="249"/>
      <c r="AN81" s="249"/>
      <c r="AO81" s="249"/>
      <c r="AP81" s="249"/>
      <c r="AQ81" s="249"/>
      <c r="AR81" s="249"/>
      <c r="AS81" s="249"/>
      <c r="AT81" s="249">
        <v>139639</v>
      </c>
      <c r="AU81" s="249">
        <f t="shared" si="2"/>
        <v>139639</v>
      </c>
      <c r="AV81" s="269">
        <f t="shared" si="3"/>
        <v>139639</v>
      </c>
      <c r="AW81" s="269">
        <f t="shared" si="4"/>
        <v>0</v>
      </c>
    </row>
    <row r="82" spans="2:49" s="140" customFormat="1" ht="22.5" x14ac:dyDescent="0.25">
      <c r="B82" s="227">
        <v>66</v>
      </c>
      <c r="C82" s="227" t="s">
        <v>39</v>
      </c>
      <c r="D82" s="28">
        <v>40010609</v>
      </c>
      <c r="E82" s="247" t="s">
        <v>1335</v>
      </c>
      <c r="F82" s="247" t="s">
        <v>54</v>
      </c>
      <c r="G82" s="229" t="s">
        <v>1237</v>
      </c>
      <c r="H82" s="247" t="s">
        <v>1331</v>
      </c>
      <c r="I82" s="247" t="s">
        <v>72</v>
      </c>
      <c r="J82" s="248">
        <v>138531</v>
      </c>
      <c r="K82" s="248"/>
      <c r="L82" s="248">
        <f t="shared" ref="L82:L145" si="5">J82-K82</f>
        <v>138531</v>
      </c>
      <c r="M82" s="249"/>
      <c r="N82" s="249">
        <v>47089.055999999997</v>
      </c>
      <c r="O82" s="249"/>
      <c r="P82" s="249"/>
      <c r="Q82" s="249"/>
      <c r="R82" s="249"/>
      <c r="S82" s="249"/>
      <c r="T82" s="249"/>
      <c r="U82" s="249"/>
      <c r="V82" s="249"/>
      <c r="W82" s="249"/>
      <c r="X82" s="249"/>
      <c r="Y82" s="249">
        <f t="shared" ref="Y82:Y145" si="6">SUM(M82:X82)</f>
        <v>47089.055999999997</v>
      </c>
      <c r="Z82" s="249">
        <v>93364</v>
      </c>
      <c r="AA82" s="249" t="s">
        <v>1285</v>
      </c>
      <c r="AB82" s="250">
        <v>44221</v>
      </c>
      <c r="AC82" s="251">
        <v>44225</v>
      </c>
      <c r="AD82" s="249">
        <v>7543</v>
      </c>
      <c r="AE82" s="249" t="s">
        <v>1336</v>
      </c>
      <c r="AF82" s="250">
        <v>44306</v>
      </c>
      <c r="AG82" s="250"/>
      <c r="AH82" s="249"/>
      <c r="AI82" s="249"/>
      <c r="AJ82" s="250"/>
      <c r="AK82" s="249"/>
      <c r="AL82" s="249"/>
      <c r="AM82" s="249"/>
      <c r="AN82" s="249"/>
      <c r="AO82" s="249"/>
      <c r="AP82" s="249"/>
      <c r="AQ82" s="249"/>
      <c r="AR82" s="249"/>
      <c r="AS82" s="249"/>
      <c r="AT82" s="249">
        <v>100907</v>
      </c>
      <c r="AU82" s="249">
        <f t="shared" ref="AU82:AU145" si="7">AT82-Y82</f>
        <v>53817.944000000003</v>
      </c>
      <c r="AV82" s="269">
        <f t="shared" ref="AV82:AV145" si="8">Z82+AD82</f>
        <v>100907</v>
      </c>
      <c r="AW82" s="269">
        <f t="shared" ref="AW82:AW145" si="9">AV82-AT82</f>
        <v>0</v>
      </c>
    </row>
    <row r="83" spans="2:49" s="140" customFormat="1" ht="22.5" x14ac:dyDescent="0.25">
      <c r="B83" s="227">
        <v>67</v>
      </c>
      <c r="C83" s="227" t="s">
        <v>39</v>
      </c>
      <c r="D83" s="28">
        <v>40002856</v>
      </c>
      <c r="E83" s="247" t="s">
        <v>1337</v>
      </c>
      <c r="F83" s="247" t="s">
        <v>54</v>
      </c>
      <c r="G83" s="229" t="s">
        <v>1237</v>
      </c>
      <c r="H83" s="247" t="s">
        <v>1260</v>
      </c>
      <c r="I83" s="247" t="s">
        <v>72</v>
      </c>
      <c r="J83" s="248">
        <v>473993</v>
      </c>
      <c r="K83" s="248"/>
      <c r="L83" s="248">
        <f t="shared" si="5"/>
        <v>473993</v>
      </c>
      <c r="M83" s="249"/>
      <c r="N83" s="249"/>
      <c r="O83" s="249">
        <v>215861.33799999999</v>
      </c>
      <c r="P83" s="249"/>
      <c r="Q83" s="249"/>
      <c r="R83" s="249"/>
      <c r="S83" s="249"/>
      <c r="T83" s="249"/>
      <c r="U83" s="249"/>
      <c r="V83" s="249"/>
      <c r="W83" s="249"/>
      <c r="X83" s="249"/>
      <c r="Y83" s="249">
        <f t="shared" si="6"/>
        <v>215861.33799999999</v>
      </c>
      <c r="Z83" s="249">
        <v>473993</v>
      </c>
      <c r="AA83" s="249" t="s">
        <v>1285</v>
      </c>
      <c r="AB83" s="250">
        <v>44221</v>
      </c>
      <c r="AC83" s="251">
        <v>44225</v>
      </c>
      <c r="AD83" s="249"/>
      <c r="AE83" s="249"/>
      <c r="AF83" s="250"/>
      <c r="AG83" s="250"/>
      <c r="AH83" s="249"/>
      <c r="AI83" s="249"/>
      <c r="AJ83" s="250"/>
      <c r="AK83" s="249"/>
      <c r="AL83" s="249"/>
      <c r="AM83" s="249"/>
      <c r="AN83" s="249"/>
      <c r="AO83" s="249"/>
      <c r="AP83" s="249"/>
      <c r="AQ83" s="249"/>
      <c r="AR83" s="249"/>
      <c r="AS83" s="249"/>
      <c r="AT83" s="249">
        <v>473993</v>
      </c>
      <c r="AU83" s="249">
        <f t="shared" si="7"/>
        <v>258131.66200000001</v>
      </c>
      <c r="AV83" s="269">
        <f t="shared" si="8"/>
        <v>473993</v>
      </c>
      <c r="AW83" s="269">
        <f t="shared" si="9"/>
        <v>0</v>
      </c>
    </row>
    <row r="84" spans="2:49" s="140" customFormat="1" ht="22.5" x14ac:dyDescent="0.25">
      <c r="B84" s="227">
        <v>68</v>
      </c>
      <c r="C84" s="227" t="s">
        <v>39</v>
      </c>
      <c r="D84" s="28">
        <v>40006021</v>
      </c>
      <c r="E84" s="247" t="s">
        <v>1338</v>
      </c>
      <c r="F84" s="247" t="s">
        <v>54</v>
      </c>
      <c r="G84" s="229" t="s">
        <v>1237</v>
      </c>
      <c r="H84" s="247" t="s">
        <v>1262</v>
      </c>
      <c r="I84" s="247" t="s">
        <v>72</v>
      </c>
      <c r="J84" s="248">
        <v>608140</v>
      </c>
      <c r="K84" s="248"/>
      <c r="L84" s="248">
        <f t="shared" si="5"/>
        <v>608140</v>
      </c>
      <c r="M84" s="249"/>
      <c r="N84" s="249">
        <v>196053.334</v>
      </c>
      <c r="O84" s="249"/>
      <c r="P84" s="249"/>
      <c r="Q84" s="249"/>
      <c r="R84" s="249"/>
      <c r="S84" s="249"/>
      <c r="T84" s="249"/>
      <c r="U84" s="249"/>
      <c r="V84" s="249"/>
      <c r="W84" s="249"/>
      <c r="X84" s="249"/>
      <c r="Y84" s="249">
        <f t="shared" si="6"/>
        <v>196053.334</v>
      </c>
      <c r="Z84" s="249">
        <v>608140</v>
      </c>
      <c r="AA84" s="249" t="s">
        <v>1285</v>
      </c>
      <c r="AB84" s="250">
        <v>44221</v>
      </c>
      <c r="AC84" s="251">
        <v>44225</v>
      </c>
      <c r="AD84" s="249">
        <v>0</v>
      </c>
      <c r="AE84" s="249"/>
      <c r="AF84" s="250"/>
      <c r="AG84" s="250"/>
      <c r="AH84" s="249"/>
      <c r="AI84" s="249"/>
      <c r="AJ84" s="250"/>
      <c r="AK84" s="249"/>
      <c r="AL84" s="249"/>
      <c r="AM84" s="249"/>
      <c r="AN84" s="249"/>
      <c r="AO84" s="249"/>
      <c r="AP84" s="249"/>
      <c r="AQ84" s="249"/>
      <c r="AR84" s="249"/>
      <c r="AS84" s="249"/>
      <c r="AT84" s="249">
        <v>608140</v>
      </c>
      <c r="AU84" s="249">
        <f t="shared" si="7"/>
        <v>412086.66599999997</v>
      </c>
      <c r="AV84" s="269">
        <f t="shared" si="8"/>
        <v>608140</v>
      </c>
      <c r="AW84" s="269">
        <f t="shared" si="9"/>
        <v>0</v>
      </c>
    </row>
    <row r="85" spans="2:49" s="140" customFormat="1" ht="22.5" x14ac:dyDescent="0.25">
      <c r="B85" s="227">
        <v>69</v>
      </c>
      <c r="C85" s="227" t="s">
        <v>42</v>
      </c>
      <c r="D85" s="28">
        <v>30130360</v>
      </c>
      <c r="E85" s="247" t="s">
        <v>1339</v>
      </c>
      <c r="F85" s="247" t="s">
        <v>54</v>
      </c>
      <c r="G85" s="229" t="s">
        <v>1237</v>
      </c>
      <c r="H85" s="247" t="s">
        <v>1249</v>
      </c>
      <c r="I85" s="247" t="s">
        <v>57</v>
      </c>
      <c r="J85" s="248">
        <v>67674</v>
      </c>
      <c r="K85" s="248">
        <v>48204</v>
      </c>
      <c r="L85" s="248">
        <f t="shared" si="5"/>
        <v>19470</v>
      </c>
      <c r="M85" s="249"/>
      <c r="N85" s="249"/>
      <c r="O85" s="249">
        <v>19470</v>
      </c>
      <c r="P85" s="249"/>
      <c r="Q85" s="249"/>
      <c r="R85" s="249"/>
      <c r="S85" s="249"/>
      <c r="T85" s="249"/>
      <c r="U85" s="249"/>
      <c r="V85" s="249"/>
      <c r="W85" s="249"/>
      <c r="X85" s="249"/>
      <c r="Y85" s="249">
        <f t="shared" si="6"/>
        <v>19470</v>
      </c>
      <c r="Z85" s="249">
        <v>19470</v>
      </c>
      <c r="AA85" s="249" t="s">
        <v>1285</v>
      </c>
      <c r="AB85" s="250">
        <v>44221</v>
      </c>
      <c r="AC85" s="251">
        <v>44225</v>
      </c>
      <c r="AD85" s="249"/>
      <c r="AE85" s="249"/>
      <c r="AF85" s="250"/>
      <c r="AG85" s="250"/>
      <c r="AH85" s="249"/>
      <c r="AI85" s="249"/>
      <c r="AJ85" s="250"/>
      <c r="AK85" s="249"/>
      <c r="AL85" s="249"/>
      <c r="AM85" s="249"/>
      <c r="AN85" s="249"/>
      <c r="AO85" s="249"/>
      <c r="AP85" s="249"/>
      <c r="AQ85" s="249"/>
      <c r="AR85" s="249"/>
      <c r="AS85" s="249"/>
      <c r="AT85" s="249">
        <v>19470</v>
      </c>
      <c r="AU85" s="249">
        <f t="shared" si="7"/>
        <v>0</v>
      </c>
      <c r="AV85" s="269">
        <f t="shared" si="8"/>
        <v>19470</v>
      </c>
      <c r="AW85" s="269">
        <f t="shared" si="9"/>
        <v>0</v>
      </c>
    </row>
    <row r="86" spans="2:49" s="140" customFormat="1" x14ac:dyDescent="0.25">
      <c r="B86" s="227">
        <v>70</v>
      </c>
      <c r="C86" s="227" t="s">
        <v>42</v>
      </c>
      <c r="D86" s="28">
        <v>30317322</v>
      </c>
      <c r="E86" s="247" t="s">
        <v>1340</v>
      </c>
      <c r="F86" s="247" t="s">
        <v>54</v>
      </c>
      <c r="G86" s="229" t="s">
        <v>1237</v>
      </c>
      <c r="H86" s="247" t="s">
        <v>1341</v>
      </c>
      <c r="I86" s="247" t="s">
        <v>57</v>
      </c>
      <c r="J86" s="248">
        <v>203015</v>
      </c>
      <c r="K86" s="248">
        <v>30675</v>
      </c>
      <c r="L86" s="248">
        <f t="shared" si="5"/>
        <v>172340</v>
      </c>
      <c r="M86" s="249"/>
      <c r="N86" s="249">
        <v>40000</v>
      </c>
      <c r="O86" s="249"/>
      <c r="P86" s="249"/>
      <c r="Q86" s="249"/>
      <c r="R86" s="249"/>
      <c r="S86" s="249"/>
      <c r="T86" s="249"/>
      <c r="U86" s="249"/>
      <c r="V86" s="249"/>
      <c r="W86" s="249"/>
      <c r="X86" s="249"/>
      <c r="Y86" s="249">
        <f t="shared" si="6"/>
        <v>40000</v>
      </c>
      <c r="Z86" s="249">
        <v>172339</v>
      </c>
      <c r="AA86" s="249" t="s">
        <v>1285</v>
      </c>
      <c r="AB86" s="250">
        <v>44221</v>
      </c>
      <c r="AC86" s="251">
        <v>44225</v>
      </c>
      <c r="AD86" s="249"/>
      <c r="AE86" s="249"/>
      <c r="AF86" s="250"/>
      <c r="AG86" s="250"/>
      <c r="AH86" s="249"/>
      <c r="AI86" s="249"/>
      <c r="AJ86" s="250"/>
      <c r="AK86" s="249"/>
      <c r="AL86" s="249"/>
      <c r="AM86" s="249"/>
      <c r="AN86" s="249"/>
      <c r="AO86" s="249"/>
      <c r="AP86" s="249"/>
      <c r="AQ86" s="249"/>
      <c r="AR86" s="249"/>
      <c r="AS86" s="249"/>
      <c r="AT86" s="249">
        <v>172339</v>
      </c>
      <c r="AU86" s="249">
        <f t="shared" si="7"/>
        <v>132339</v>
      </c>
      <c r="AV86" s="269">
        <f t="shared" si="8"/>
        <v>172339</v>
      </c>
      <c r="AW86" s="269">
        <f t="shared" si="9"/>
        <v>0</v>
      </c>
    </row>
    <row r="87" spans="2:49" s="140" customFormat="1" x14ac:dyDescent="0.25">
      <c r="B87" s="227">
        <v>71</v>
      </c>
      <c r="C87" s="227" t="s">
        <v>39</v>
      </c>
      <c r="D87" s="28">
        <v>30465933</v>
      </c>
      <c r="E87" s="247" t="s">
        <v>1342</v>
      </c>
      <c r="F87" s="247" t="s">
        <v>54</v>
      </c>
      <c r="G87" s="229" t="s">
        <v>1237</v>
      </c>
      <c r="H87" s="247" t="s">
        <v>1300</v>
      </c>
      <c r="I87" s="247" t="s">
        <v>57</v>
      </c>
      <c r="J87" s="248">
        <v>565423</v>
      </c>
      <c r="K87" s="248">
        <v>57432</v>
      </c>
      <c r="L87" s="248">
        <f t="shared" si="5"/>
        <v>507991</v>
      </c>
      <c r="M87" s="249"/>
      <c r="N87" s="249"/>
      <c r="O87" s="249"/>
      <c r="P87" s="249"/>
      <c r="Q87" s="249"/>
      <c r="R87" s="249"/>
      <c r="S87" s="249"/>
      <c r="T87" s="249"/>
      <c r="U87" s="249"/>
      <c r="V87" s="249"/>
      <c r="W87" s="249"/>
      <c r="X87" s="249"/>
      <c r="Y87" s="249">
        <f t="shared" si="6"/>
        <v>0</v>
      </c>
      <c r="Z87" s="249">
        <v>507991</v>
      </c>
      <c r="AA87" s="249" t="s">
        <v>1285</v>
      </c>
      <c r="AB87" s="250">
        <v>44221</v>
      </c>
      <c r="AC87" s="251">
        <v>44225</v>
      </c>
      <c r="AD87" s="249"/>
      <c r="AE87" s="249"/>
      <c r="AF87" s="250"/>
      <c r="AG87" s="250"/>
      <c r="AH87" s="249"/>
      <c r="AI87" s="249"/>
      <c r="AJ87" s="250"/>
      <c r="AK87" s="249"/>
      <c r="AL87" s="249"/>
      <c r="AM87" s="249"/>
      <c r="AN87" s="249"/>
      <c r="AO87" s="249"/>
      <c r="AP87" s="249"/>
      <c r="AQ87" s="249"/>
      <c r="AR87" s="249"/>
      <c r="AS87" s="249"/>
      <c r="AT87" s="249">
        <v>507991</v>
      </c>
      <c r="AU87" s="249">
        <f t="shared" si="7"/>
        <v>507991</v>
      </c>
      <c r="AV87" s="269">
        <f t="shared" si="8"/>
        <v>507991</v>
      </c>
      <c r="AW87" s="269">
        <f t="shared" si="9"/>
        <v>0</v>
      </c>
    </row>
    <row r="88" spans="2:49" s="140" customFormat="1" x14ac:dyDescent="0.25">
      <c r="B88" s="227">
        <v>72</v>
      </c>
      <c r="C88" s="227" t="s">
        <v>39</v>
      </c>
      <c r="D88" s="28">
        <v>30465049</v>
      </c>
      <c r="E88" s="247" t="s">
        <v>1343</v>
      </c>
      <c r="F88" s="247" t="s">
        <v>54</v>
      </c>
      <c r="G88" s="229" t="s">
        <v>1237</v>
      </c>
      <c r="H88" s="247" t="s">
        <v>1237</v>
      </c>
      <c r="I88" s="247" t="s">
        <v>57</v>
      </c>
      <c r="J88" s="248">
        <v>1416994</v>
      </c>
      <c r="K88" s="248">
        <v>14230</v>
      </c>
      <c r="L88" s="248">
        <f t="shared" si="5"/>
        <v>1402764</v>
      </c>
      <c r="M88" s="249"/>
      <c r="N88" s="249"/>
      <c r="O88" s="249"/>
      <c r="P88" s="249"/>
      <c r="Q88" s="249"/>
      <c r="R88" s="249"/>
      <c r="S88" s="249"/>
      <c r="T88" s="249"/>
      <c r="U88" s="249"/>
      <c r="V88" s="249"/>
      <c r="W88" s="249"/>
      <c r="X88" s="249"/>
      <c r="Y88" s="249">
        <f t="shared" si="6"/>
        <v>0</v>
      </c>
      <c r="Z88" s="249">
        <v>1402764</v>
      </c>
      <c r="AA88" s="249" t="s">
        <v>1285</v>
      </c>
      <c r="AB88" s="250">
        <v>44221</v>
      </c>
      <c r="AC88" s="251">
        <v>44225</v>
      </c>
      <c r="AD88" s="249">
        <v>-1402763</v>
      </c>
      <c r="AE88" s="249" t="s">
        <v>1308</v>
      </c>
      <c r="AF88" s="250">
        <v>44253</v>
      </c>
      <c r="AG88" s="251">
        <v>44286</v>
      </c>
      <c r="AH88" s="249"/>
      <c r="AI88" s="249"/>
      <c r="AJ88" s="250"/>
      <c r="AK88" s="249"/>
      <c r="AL88" s="249"/>
      <c r="AM88" s="249"/>
      <c r="AN88" s="249"/>
      <c r="AO88" s="249"/>
      <c r="AP88" s="249"/>
      <c r="AQ88" s="249"/>
      <c r="AR88" s="249"/>
      <c r="AS88" s="249"/>
      <c r="AT88" s="249">
        <v>1</v>
      </c>
      <c r="AU88" s="249">
        <f t="shared" si="7"/>
        <v>1</v>
      </c>
      <c r="AV88" s="269">
        <f t="shared" si="8"/>
        <v>1</v>
      </c>
      <c r="AW88" s="269">
        <f t="shared" si="9"/>
        <v>0</v>
      </c>
    </row>
    <row r="89" spans="2:49" s="140" customFormat="1" ht="22.5" x14ac:dyDescent="0.25">
      <c r="B89" s="227">
        <v>73</v>
      </c>
      <c r="C89" s="227" t="s">
        <v>39</v>
      </c>
      <c r="D89" s="28">
        <v>30103864</v>
      </c>
      <c r="E89" s="247" t="s">
        <v>1344</v>
      </c>
      <c r="F89" s="247" t="s">
        <v>54</v>
      </c>
      <c r="G89" s="229" t="s">
        <v>1237</v>
      </c>
      <c r="H89" s="247" t="s">
        <v>1345</v>
      </c>
      <c r="I89" s="247" t="s">
        <v>57</v>
      </c>
      <c r="J89" s="248">
        <v>333587</v>
      </c>
      <c r="K89" s="248">
        <v>255569</v>
      </c>
      <c r="L89" s="248">
        <f t="shared" si="5"/>
        <v>78018</v>
      </c>
      <c r="M89" s="249"/>
      <c r="N89" s="249"/>
      <c r="O89" s="249"/>
      <c r="P89" s="249"/>
      <c r="Q89" s="249"/>
      <c r="R89" s="249"/>
      <c r="S89" s="249"/>
      <c r="T89" s="249"/>
      <c r="U89" s="249"/>
      <c r="V89" s="249"/>
      <c r="W89" s="249"/>
      <c r="X89" s="249"/>
      <c r="Y89" s="249">
        <f t="shared" si="6"/>
        <v>0</v>
      </c>
      <c r="Z89" s="249">
        <v>65018</v>
      </c>
      <c r="AA89" s="249" t="s">
        <v>1285</v>
      </c>
      <c r="AB89" s="250">
        <v>44221</v>
      </c>
      <c r="AC89" s="251">
        <v>44225</v>
      </c>
      <c r="AD89" s="249"/>
      <c r="AE89" s="249"/>
      <c r="AF89" s="250"/>
      <c r="AG89" s="250"/>
      <c r="AH89" s="249"/>
      <c r="AI89" s="249"/>
      <c r="AJ89" s="250"/>
      <c r="AK89" s="249"/>
      <c r="AL89" s="249"/>
      <c r="AM89" s="249"/>
      <c r="AN89" s="249"/>
      <c r="AO89" s="249"/>
      <c r="AP89" s="249"/>
      <c r="AQ89" s="249"/>
      <c r="AR89" s="249"/>
      <c r="AS89" s="249"/>
      <c r="AT89" s="249">
        <v>65018</v>
      </c>
      <c r="AU89" s="249">
        <f t="shared" si="7"/>
        <v>65018</v>
      </c>
      <c r="AV89" s="269">
        <f t="shared" si="8"/>
        <v>65018</v>
      </c>
      <c r="AW89" s="269">
        <f t="shared" si="9"/>
        <v>0</v>
      </c>
    </row>
    <row r="90" spans="2:49" s="140" customFormat="1" ht="22.5" x14ac:dyDescent="0.25">
      <c r="B90" s="227">
        <v>74</v>
      </c>
      <c r="C90" s="227" t="s">
        <v>39</v>
      </c>
      <c r="D90" s="28">
        <v>30078248</v>
      </c>
      <c r="E90" s="247" t="s">
        <v>1346</v>
      </c>
      <c r="F90" s="247" t="s">
        <v>54</v>
      </c>
      <c r="G90" s="229" t="s">
        <v>1237</v>
      </c>
      <c r="H90" s="247" t="s">
        <v>1237</v>
      </c>
      <c r="I90" s="247" t="s">
        <v>57</v>
      </c>
      <c r="J90" s="248">
        <v>5325527</v>
      </c>
      <c r="K90" s="248">
        <v>36501</v>
      </c>
      <c r="L90" s="248">
        <f t="shared" si="5"/>
        <v>5289026</v>
      </c>
      <c r="M90" s="249"/>
      <c r="N90" s="249">
        <v>5854.2</v>
      </c>
      <c r="O90" s="249"/>
      <c r="P90" s="249"/>
      <c r="Q90" s="249"/>
      <c r="R90" s="249"/>
      <c r="S90" s="249"/>
      <c r="T90" s="249"/>
      <c r="U90" s="249"/>
      <c r="V90" s="249"/>
      <c r="W90" s="249"/>
      <c r="X90" s="249"/>
      <c r="Y90" s="249">
        <f t="shared" si="6"/>
        <v>5854.2</v>
      </c>
      <c r="Z90" s="249">
        <v>2649486</v>
      </c>
      <c r="AA90" s="249" t="s">
        <v>1347</v>
      </c>
      <c r="AB90" s="250">
        <v>44221</v>
      </c>
      <c r="AC90" s="251">
        <v>44225</v>
      </c>
      <c r="AD90" s="249">
        <v>-2476973</v>
      </c>
      <c r="AE90" s="249" t="s">
        <v>1348</v>
      </c>
      <c r="AF90" s="250">
        <v>44253</v>
      </c>
      <c r="AG90" s="250">
        <v>44263</v>
      </c>
      <c r="AH90" s="249"/>
      <c r="AI90" s="249"/>
      <c r="AJ90" s="250"/>
      <c r="AK90" s="249"/>
      <c r="AL90" s="249"/>
      <c r="AM90" s="249"/>
      <c r="AN90" s="249"/>
      <c r="AO90" s="249"/>
      <c r="AP90" s="249"/>
      <c r="AQ90" s="249"/>
      <c r="AR90" s="249"/>
      <c r="AS90" s="249"/>
      <c r="AT90" s="249">
        <v>172513</v>
      </c>
      <c r="AU90" s="249">
        <f t="shared" si="7"/>
        <v>166658.79999999999</v>
      </c>
      <c r="AV90" s="269">
        <f t="shared" si="8"/>
        <v>172513</v>
      </c>
      <c r="AW90" s="269">
        <f t="shared" si="9"/>
        <v>0</v>
      </c>
    </row>
    <row r="91" spans="2:49" s="140" customFormat="1" ht="22.5" x14ac:dyDescent="0.25">
      <c r="B91" s="227">
        <v>75</v>
      </c>
      <c r="C91" s="227" t="s">
        <v>43</v>
      </c>
      <c r="D91" s="28">
        <v>40001122</v>
      </c>
      <c r="E91" s="247" t="s">
        <v>1349</v>
      </c>
      <c r="F91" s="247" t="s">
        <v>54</v>
      </c>
      <c r="G91" s="229" t="s">
        <v>1237</v>
      </c>
      <c r="H91" s="247" t="s">
        <v>1249</v>
      </c>
      <c r="I91" s="247" t="s">
        <v>57</v>
      </c>
      <c r="J91" s="248">
        <v>466026</v>
      </c>
      <c r="K91" s="248">
        <v>314981</v>
      </c>
      <c r="L91" s="248">
        <f t="shared" si="5"/>
        <v>151045</v>
      </c>
      <c r="M91" s="249"/>
      <c r="N91" s="249"/>
      <c r="O91" s="249"/>
      <c r="P91" s="249"/>
      <c r="Q91" s="249"/>
      <c r="R91" s="249"/>
      <c r="S91" s="249"/>
      <c r="T91" s="249"/>
      <c r="U91" s="249"/>
      <c r="V91" s="249"/>
      <c r="W91" s="249"/>
      <c r="X91" s="249"/>
      <c r="Y91" s="249">
        <f t="shared" si="6"/>
        <v>0</v>
      </c>
      <c r="Z91" s="249">
        <v>151045</v>
      </c>
      <c r="AA91" s="249" t="s">
        <v>1350</v>
      </c>
      <c r="AB91" s="250">
        <v>44221</v>
      </c>
      <c r="AC91" s="251">
        <v>44225</v>
      </c>
      <c r="AD91" s="249"/>
      <c r="AE91" s="249"/>
      <c r="AF91" s="250"/>
      <c r="AG91" s="250"/>
      <c r="AH91" s="249"/>
      <c r="AI91" s="249"/>
      <c r="AJ91" s="250"/>
      <c r="AK91" s="249"/>
      <c r="AL91" s="249"/>
      <c r="AM91" s="249"/>
      <c r="AN91" s="249"/>
      <c r="AO91" s="249"/>
      <c r="AP91" s="249"/>
      <c r="AQ91" s="249"/>
      <c r="AR91" s="249"/>
      <c r="AS91" s="249"/>
      <c r="AT91" s="249">
        <v>151045</v>
      </c>
      <c r="AU91" s="249">
        <f t="shared" si="7"/>
        <v>151045</v>
      </c>
      <c r="AV91" s="269">
        <f t="shared" si="8"/>
        <v>151045</v>
      </c>
      <c r="AW91" s="269">
        <f t="shared" si="9"/>
        <v>0</v>
      </c>
    </row>
    <row r="92" spans="2:49" s="140" customFormat="1" ht="22.5" x14ac:dyDescent="0.25">
      <c r="B92" s="227">
        <v>76</v>
      </c>
      <c r="C92" s="227" t="s">
        <v>39</v>
      </c>
      <c r="D92" s="28">
        <v>30484096</v>
      </c>
      <c r="E92" s="247" t="s">
        <v>1351</v>
      </c>
      <c r="F92" s="247" t="s">
        <v>1256</v>
      </c>
      <c r="G92" s="229" t="s">
        <v>1237</v>
      </c>
      <c r="H92" s="247" t="s">
        <v>1249</v>
      </c>
      <c r="I92" s="247" t="s">
        <v>57</v>
      </c>
      <c r="J92" s="248">
        <v>251775</v>
      </c>
      <c r="K92" s="248">
        <v>105175</v>
      </c>
      <c r="L92" s="248">
        <f t="shared" si="5"/>
        <v>146600</v>
      </c>
      <c r="M92" s="249"/>
      <c r="N92" s="249"/>
      <c r="O92" s="249"/>
      <c r="P92" s="249"/>
      <c r="Q92" s="249"/>
      <c r="R92" s="249"/>
      <c r="S92" s="249"/>
      <c r="T92" s="249"/>
      <c r="U92" s="249"/>
      <c r="V92" s="249"/>
      <c r="W92" s="249"/>
      <c r="X92" s="249"/>
      <c r="Y92" s="249">
        <f t="shared" si="6"/>
        <v>0</v>
      </c>
      <c r="Z92" s="249">
        <v>146600</v>
      </c>
      <c r="AA92" s="249" t="s">
        <v>1350</v>
      </c>
      <c r="AB92" s="250">
        <v>44221</v>
      </c>
      <c r="AC92" s="251">
        <v>44225</v>
      </c>
      <c r="AD92" s="249"/>
      <c r="AE92" s="249"/>
      <c r="AF92" s="250"/>
      <c r="AG92" s="250"/>
      <c r="AH92" s="249"/>
      <c r="AI92" s="249"/>
      <c r="AJ92" s="250"/>
      <c r="AK92" s="249"/>
      <c r="AL92" s="249"/>
      <c r="AM92" s="249"/>
      <c r="AN92" s="249"/>
      <c r="AO92" s="249"/>
      <c r="AP92" s="249"/>
      <c r="AQ92" s="249"/>
      <c r="AR92" s="249"/>
      <c r="AS92" s="249"/>
      <c r="AT92" s="249">
        <v>146600</v>
      </c>
      <c r="AU92" s="249">
        <f t="shared" si="7"/>
        <v>146600</v>
      </c>
      <c r="AV92" s="269">
        <f t="shared" si="8"/>
        <v>146600</v>
      </c>
      <c r="AW92" s="269">
        <f t="shared" si="9"/>
        <v>0</v>
      </c>
    </row>
    <row r="93" spans="2:49" s="140" customFormat="1" x14ac:dyDescent="0.25">
      <c r="B93" s="227">
        <v>77</v>
      </c>
      <c r="C93" s="227" t="s">
        <v>39</v>
      </c>
      <c r="D93" s="28">
        <v>40009852</v>
      </c>
      <c r="E93" s="247" t="s">
        <v>1352</v>
      </c>
      <c r="F93" s="247" t="s">
        <v>54</v>
      </c>
      <c r="G93" s="229" t="s">
        <v>1237</v>
      </c>
      <c r="H93" s="247" t="s">
        <v>1353</v>
      </c>
      <c r="I93" s="247" t="s">
        <v>57</v>
      </c>
      <c r="J93" s="248">
        <v>176959</v>
      </c>
      <c r="K93" s="248">
        <v>77196</v>
      </c>
      <c r="L93" s="248">
        <f t="shared" si="5"/>
        <v>99763</v>
      </c>
      <c r="M93" s="249"/>
      <c r="N93" s="249"/>
      <c r="O93" s="249"/>
      <c r="P93" s="249"/>
      <c r="Q93" s="249"/>
      <c r="R93" s="249"/>
      <c r="S93" s="249"/>
      <c r="T93" s="249"/>
      <c r="U93" s="249"/>
      <c r="V93" s="249"/>
      <c r="W93" s="249"/>
      <c r="X93" s="249"/>
      <c r="Y93" s="249">
        <f t="shared" si="6"/>
        <v>0</v>
      </c>
      <c r="Z93" s="249">
        <v>99763</v>
      </c>
      <c r="AA93" s="249" t="s">
        <v>1350</v>
      </c>
      <c r="AB93" s="250">
        <v>44221</v>
      </c>
      <c r="AC93" s="251">
        <v>44225</v>
      </c>
      <c r="AD93" s="249"/>
      <c r="AE93" s="249"/>
      <c r="AF93" s="250"/>
      <c r="AG93" s="250"/>
      <c r="AH93" s="249"/>
      <c r="AI93" s="249"/>
      <c r="AJ93" s="250"/>
      <c r="AK93" s="249"/>
      <c r="AL93" s="249"/>
      <c r="AM93" s="249"/>
      <c r="AN93" s="249"/>
      <c r="AO93" s="249"/>
      <c r="AP93" s="249"/>
      <c r="AQ93" s="249"/>
      <c r="AR93" s="249"/>
      <c r="AS93" s="249"/>
      <c r="AT93" s="249">
        <v>99763</v>
      </c>
      <c r="AU93" s="249">
        <f t="shared" si="7"/>
        <v>99763</v>
      </c>
      <c r="AV93" s="269">
        <f t="shared" si="8"/>
        <v>99763</v>
      </c>
      <c r="AW93" s="269">
        <f t="shared" si="9"/>
        <v>0</v>
      </c>
    </row>
    <row r="94" spans="2:49" s="140" customFormat="1" x14ac:dyDescent="0.25">
      <c r="B94" s="227">
        <v>78</v>
      </c>
      <c r="C94" s="227" t="s">
        <v>39</v>
      </c>
      <c r="D94" s="28">
        <v>30459960</v>
      </c>
      <c r="E94" s="247" t="s">
        <v>1354</v>
      </c>
      <c r="F94" s="247" t="s">
        <v>54</v>
      </c>
      <c r="G94" s="229" t="s">
        <v>1237</v>
      </c>
      <c r="H94" s="247" t="s">
        <v>1355</v>
      </c>
      <c r="I94" s="247" t="s">
        <v>57</v>
      </c>
      <c r="J94" s="248">
        <v>3109346</v>
      </c>
      <c r="K94" s="248">
        <v>1974112</v>
      </c>
      <c r="L94" s="248">
        <f t="shared" si="5"/>
        <v>1135234</v>
      </c>
      <c r="M94" s="249"/>
      <c r="N94" s="249"/>
      <c r="O94" s="249"/>
      <c r="P94" s="249"/>
      <c r="Q94" s="249"/>
      <c r="R94" s="249"/>
      <c r="S94" s="249"/>
      <c r="T94" s="249"/>
      <c r="U94" s="249"/>
      <c r="V94" s="249"/>
      <c r="W94" s="249"/>
      <c r="X94" s="249"/>
      <c r="Y94" s="249">
        <f t="shared" si="6"/>
        <v>0</v>
      </c>
      <c r="Z94" s="249">
        <v>1135234</v>
      </c>
      <c r="AA94" s="249" t="s">
        <v>1350</v>
      </c>
      <c r="AB94" s="250">
        <v>44221</v>
      </c>
      <c r="AC94" s="251">
        <v>44225</v>
      </c>
      <c r="AD94" s="249"/>
      <c r="AE94" s="249"/>
      <c r="AF94" s="250"/>
      <c r="AG94" s="250"/>
      <c r="AH94" s="249"/>
      <c r="AI94" s="249"/>
      <c r="AJ94" s="250"/>
      <c r="AK94" s="249"/>
      <c r="AL94" s="249"/>
      <c r="AM94" s="249"/>
      <c r="AN94" s="249"/>
      <c r="AO94" s="249"/>
      <c r="AP94" s="249"/>
      <c r="AQ94" s="249"/>
      <c r="AR94" s="249"/>
      <c r="AS94" s="249"/>
      <c r="AT94" s="249">
        <v>1135234</v>
      </c>
      <c r="AU94" s="249">
        <f t="shared" si="7"/>
        <v>1135234</v>
      </c>
      <c r="AV94" s="269">
        <f t="shared" si="8"/>
        <v>1135234</v>
      </c>
      <c r="AW94" s="269">
        <f t="shared" si="9"/>
        <v>0</v>
      </c>
    </row>
    <row r="95" spans="2:49" s="140" customFormat="1" ht="22.5" x14ac:dyDescent="0.25">
      <c r="B95" s="227">
        <v>79</v>
      </c>
      <c r="C95" s="227" t="s">
        <v>39</v>
      </c>
      <c r="D95" s="28">
        <v>40005875</v>
      </c>
      <c r="E95" s="247" t="s">
        <v>1356</v>
      </c>
      <c r="F95" s="247" t="s">
        <v>54</v>
      </c>
      <c r="G95" s="229" t="s">
        <v>1237</v>
      </c>
      <c r="H95" s="247" t="s">
        <v>1242</v>
      </c>
      <c r="I95" s="247" t="s">
        <v>57</v>
      </c>
      <c r="J95" s="248">
        <v>79371</v>
      </c>
      <c r="K95" s="248">
        <v>71407</v>
      </c>
      <c r="L95" s="248">
        <f t="shared" si="5"/>
        <v>7964</v>
      </c>
      <c r="M95" s="249"/>
      <c r="N95" s="249"/>
      <c r="O95" s="249"/>
      <c r="P95" s="249"/>
      <c r="Q95" s="249"/>
      <c r="R95" s="249"/>
      <c r="S95" s="249"/>
      <c r="T95" s="249"/>
      <c r="U95" s="249"/>
      <c r="V95" s="249"/>
      <c r="W95" s="249"/>
      <c r="X95" s="249"/>
      <c r="Y95" s="249">
        <f t="shared" si="6"/>
        <v>0</v>
      </c>
      <c r="Z95" s="249">
        <v>7964</v>
      </c>
      <c r="AA95" s="249" t="s">
        <v>1350</v>
      </c>
      <c r="AB95" s="250">
        <v>44221</v>
      </c>
      <c r="AC95" s="251">
        <v>44225</v>
      </c>
      <c r="AD95" s="249"/>
      <c r="AE95" s="249"/>
      <c r="AF95" s="250"/>
      <c r="AG95" s="250"/>
      <c r="AH95" s="249"/>
      <c r="AI95" s="249"/>
      <c r="AJ95" s="250"/>
      <c r="AK95" s="249"/>
      <c r="AL95" s="249"/>
      <c r="AM95" s="249"/>
      <c r="AN95" s="249"/>
      <c r="AO95" s="249"/>
      <c r="AP95" s="249"/>
      <c r="AQ95" s="249"/>
      <c r="AR95" s="249"/>
      <c r="AS95" s="249"/>
      <c r="AT95" s="249">
        <v>7964</v>
      </c>
      <c r="AU95" s="249">
        <f t="shared" si="7"/>
        <v>7964</v>
      </c>
      <c r="AV95" s="269">
        <f t="shared" si="8"/>
        <v>7964</v>
      </c>
      <c r="AW95" s="269">
        <f t="shared" si="9"/>
        <v>0</v>
      </c>
    </row>
    <row r="96" spans="2:49" s="140" customFormat="1" x14ac:dyDescent="0.25">
      <c r="B96" s="227">
        <v>80</v>
      </c>
      <c r="C96" s="227" t="s">
        <v>39</v>
      </c>
      <c r="D96" s="28">
        <v>30444424</v>
      </c>
      <c r="E96" s="247" t="s">
        <v>1357</v>
      </c>
      <c r="F96" s="247" t="s">
        <v>1256</v>
      </c>
      <c r="G96" s="229" t="s">
        <v>1237</v>
      </c>
      <c r="H96" s="247" t="s">
        <v>1358</v>
      </c>
      <c r="I96" s="247" t="s">
        <v>57</v>
      </c>
      <c r="J96" s="248">
        <v>93892</v>
      </c>
      <c r="K96" s="248">
        <v>66161</v>
      </c>
      <c r="L96" s="248">
        <f t="shared" si="5"/>
        <v>27731</v>
      </c>
      <c r="M96" s="249"/>
      <c r="N96" s="249"/>
      <c r="O96" s="249"/>
      <c r="P96" s="249"/>
      <c r="Q96" s="249"/>
      <c r="R96" s="249"/>
      <c r="S96" s="249"/>
      <c r="T96" s="249"/>
      <c r="U96" s="249"/>
      <c r="V96" s="249"/>
      <c r="W96" s="249"/>
      <c r="X96" s="249"/>
      <c r="Y96" s="249">
        <f t="shared" si="6"/>
        <v>0</v>
      </c>
      <c r="Z96" s="249">
        <v>27731</v>
      </c>
      <c r="AA96" s="249" t="s">
        <v>1350</v>
      </c>
      <c r="AB96" s="250">
        <v>44221</v>
      </c>
      <c r="AC96" s="251">
        <v>44225</v>
      </c>
      <c r="AD96" s="249"/>
      <c r="AE96" s="249"/>
      <c r="AF96" s="250"/>
      <c r="AG96" s="250"/>
      <c r="AH96" s="249"/>
      <c r="AI96" s="249"/>
      <c r="AJ96" s="250"/>
      <c r="AK96" s="249"/>
      <c r="AL96" s="249"/>
      <c r="AM96" s="249"/>
      <c r="AN96" s="249"/>
      <c r="AO96" s="249"/>
      <c r="AP96" s="249"/>
      <c r="AQ96" s="249"/>
      <c r="AR96" s="249"/>
      <c r="AS96" s="249"/>
      <c r="AT96" s="249">
        <v>27731</v>
      </c>
      <c r="AU96" s="249">
        <f t="shared" si="7"/>
        <v>27731</v>
      </c>
      <c r="AV96" s="269">
        <f t="shared" si="8"/>
        <v>27731</v>
      </c>
      <c r="AW96" s="269">
        <f t="shared" si="9"/>
        <v>0</v>
      </c>
    </row>
    <row r="97" spans="2:49" s="140" customFormat="1" ht="22.5" x14ac:dyDescent="0.25">
      <c r="B97" s="227">
        <v>81</v>
      </c>
      <c r="C97" s="227" t="s">
        <v>39</v>
      </c>
      <c r="D97" s="28">
        <v>40005869</v>
      </c>
      <c r="E97" s="247" t="s">
        <v>1359</v>
      </c>
      <c r="F97" s="247" t="s">
        <v>1256</v>
      </c>
      <c r="G97" s="229" t="s">
        <v>1237</v>
      </c>
      <c r="H97" s="247" t="s">
        <v>1251</v>
      </c>
      <c r="I97" s="247" t="s">
        <v>57</v>
      </c>
      <c r="J97" s="248">
        <v>168627</v>
      </c>
      <c r="K97" s="248">
        <v>59876</v>
      </c>
      <c r="L97" s="248">
        <f t="shared" si="5"/>
        <v>108751</v>
      </c>
      <c r="M97" s="249"/>
      <c r="N97" s="249"/>
      <c r="O97" s="249">
        <v>16730.89</v>
      </c>
      <c r="P97" s="249"/>
      <c r="Q97" s="249"/>
      <c r="R97" s="249"/>
      <c r="S97" s="249"/>
      <c r="T97" s="249"/>
      <c r="U97" s="249"/>
      <c r="V97" s="249"/>
      <c r="W97" s="249"/>
      <c r="X97" s="249"/>
      <c r="Y97" s="249">
        <f t="shared" si="6"/>
        <v>16730.89</v>
      </c>
      <c r="Z97" s="249">
        <v>108751</v>
      </c>
      <c r="AA97" s="249" t="s">
        <v>1350</v>
      </c>
      <c r="AB97" s="250">
        <v>44221</v>
      </c>
      <c r="AC97" s="251">
        <v>44225</v>
      </c>
      <c r="AD97" s="249"/>
      <c r="AE97" s="249"/>
      <c r="AF97" s="250"/>
      <c r="AG97" s="250"/>
      <c r="AH97" s="249"/>
      <c r="AI97" s="249"/>
      <c r="AJ97" s="250"/>
      <c r="AK97" s="249"/>
      <c r="AL97" s="249"/>
      <c r="AM97" s="249"/>
      <c r="AN97" s="249"/>
      <c r="AO97" s="249"/>
      <c r="AP97" s="249"/>
      <c r="AQ97" s="249"/>
      <c r="AR97" s="249"/>
      <c r="AS97" s="249"/>
      <c r="AT97" s="249">
        <v>108751</v>
      </c>
      <c r="AU97" s="249">
        <f t="shared" si="7"/>
        <v>92020.11</v>
      </c>
      <c r="AV97" s="269">
        <f t="shared" si="8"/>
        <v>108751</v>
      </c>
      <c r="AW97" s="269">
        <f t="shared" si="9"/>
        <v>0</v>
      </c>
    </row>
    <row r="98" spans="2:49" s="140" customFormat="1" x14ac:dyDescent="0.25">
      <c r="B98" s="227">
        <v>82</v>
      </c>
      <c r="C98" s="227" t="s">
        <v>39</v>
      </c>
      <c r="D98" s="28">
        <v>30482540</v>
      </c>
      <c r="E98" s="247" t="s">
        <v>1360</v>
      </c>
      <c r="F98" s="247" t="s">
        <v>54</v>
      </c>
      <c r="G98" s="229" t="s">
        <v>1237</v>
      </c>
      <c r="H98" s="247" t="s">
        <v>1242</v>
      </c>
      <c r="I98" s="247" t="s">
        <v>57</v>
      </c>
      <c r="J98" s="248">
        <v>711980</v>
      </c>
      <c r="K98" s="248">
        <v>686330</v>
      </c>
      <c r="L98" s="248">
        <f t="shared" si="5"/>
        <v>25650</v>
      </c>
      <c r="M98" s="249"/>
      <c r="N98" s="249"/>
      <c r="O98" s="249"/>
      <c r="P98" s="249"/>
      <c r="Q98" s="249"/>
      <c r="R98" s="249"/>
      <c r="S98" s="249"/>
      <c r="T98" s="249"/>
      <c r="U98" s="249"/>
      <c r="V98" s="249"/>
      <c r="W98" s="249"/>
      <c r="X98" s="249"/>
      <c r="Y98" s="249">
        <f t="shared" si="6"/>
        <v>0</v>
      </c>
      <c r="Z98" s="249">
        <v>25650</v>
      </c>
      <c r="AA98" s="249" t="s">
        <v>1350</v>
      </c>
      <c r="AB98" s="250">
        <v>44221</v>
      </c>
      <c r="AC98" s="251">
        <v>44225</v>
      </c>
      <c r="AD98" s="249"/>
      <c r="AE98" s="249"/>
      <c r="AF98" s="250"/>
      <c r="AG98" s="250"/>
      <c r="AH98" s="249"/>
      <c r="AI98" s="249"/>
      <c r="AJ98" s="250"/>
      <c r="AK98" s="249"/>
      <c r="AL98" s="249"/>
      <c r="AM98" s="249"/>
      <c r="AN98" s="249"/>
      <c r="AO98" s="249"/>
      <c r="AP98" s="249"/>
      <c r="AQ98" s="249"/>
      <c r="AR98" s="249"/>
      <c r="AS98" s="249"/>
      <c r="AT98" s="249">
        <v>25650</v>
      </c>
      <c r="AU98" s="249">
        <f t="shared" si="7"/>
        <v>25650</v>
      </c>
      <c r="AV98" s="269">
        <f t="shared" si="8"/>
        <v>25650</v>
      </c>
      <c r="AW98" s="269">
        <f t="shared" si="9"/>
        <v>0</v>
      </c>
    </row>
    <row r="99" spans="2:49" s="140" customFormat="1" x14ac:dyDescent="0.25">
      <c r="B99" s="227">
        <v>83</v>
      </c>
      <c r="C99" s="227" t="s">
        <v>39</v>
      </c>
      <c r="D99" s="28">
        <v>40010661</v>
      </c>
      <c r="E99" s="247" t="s">
        <v>1361</v>
      </c>
      <c r="F99" s="247" t="s">
        <v>54</v>
      </c>
      <c r="G99" s="229" t="s">
        <v>1237</v>
      </c>
      <c r="H99" s="247" t="s">
        <v>1353</v>
      </c>
      <c r="I99" s="247" t="s">
        <v>57</v>
      </c>
      <c r="J99" s="248">
        <v>129178</v>
      </c>
      <c r="K99" s="248">
        <v>57513</v>
      </c>
      <c r="L99" s="248">
        <f t="shared" si="5"/>
        <v>71665</v>
      </c>
      <c r="M99" s="249"/>
      <c r="N99" s="249">
        <v>33724.555</v>
      </c>
      <c r="O99" s="249"/>
      <c r="P99" s="249"/>
      <c r="Q99" s="249"/>
      <c r="R99" s="249"/>
      <c r="S99" s="249"/>
      <c r="T99" s="249"/>
      <c r="U99" s="249"/>
      <c r="V99" s="249"/>
      <c r="W99" s="249"/>
      <c r="X99" s="249"/>
      <c r="Y99" s="249">
        <f t="shared" si="6"/>
        <v>33724.555</v>
      </c>
      <c r="Z99" s="249">
        <v>71665</v>
      </c>
      <c r="AA99" s="249" t="s">
        <v>1350</v>
      </c>
      <c r="AB99" s="250">
        <v>44221</v>
      </c>
      <c r="AC99" s="251">
        <v>44225</v>
      </c>
      <c r="AD99" s="249"/>
      <c r="AE99" s="249"/>
      <c r="AF99" s="250"/>
      <c r="AG99" s="250"/>
      <c r="AH99" s="249"/>
      <c r="AI99" s="249"/>
      <c r="AJ99" s="250"/>
      <c r="AK99" s="249"/>
      <c r="AL99" s="249"/>
      <c r="AM99" s="249"/>
      <c r="AN99" s="249"/>
      <c r="AO99" s="249"/>
      <c r="AP99" s="249"/>
      <c r="AQ99" s="249"/>
      <c r="AR99" s="249"/>
      <c r="AS99" s="249"/>
      <c r="AT99" s="249">
        <v>71665</v>
      </c>
      <c r="AU99" s="249">
        <f t="shared" si="7"/>
        <v>37940.445</v>
      </c>
      <c r="AV99" s="269">
        <f t="shared" si="8"/>
        <v>71665</v>
      </c>
      <c r="AW99" s="269">
        <f t="shared" si="9"/>
        <v>0</v>
      </c>
    </row>
    <row r="100" spans="2:49" s="140" customFormat="1" ht="22.5" x14ac:dyDescent="0.25">
      <c r="B100" s="227">
        <v>84</v>
      </c>
      <c r="C100" s="227" t="s">
        <v>39</v>
      </c>
      <c r="D100" s="28">
        <v>40008168</v>
      </c>
      <c r="E100" s="247" t="s">
        <v>1362</v>
      </c>
      <c r="F100" s="247" t="s">
        <v>54</v>
      </c>
      <c r="G100" s="229" t="s">
        <v>1237</v>
      </c>
      <c r="H100" s="247" t="s">
        <v>1353</v>
      </c>
      <c r="I100" s="247" t="s">
        <v>57</v>
      </c>
      <c r="J100" s="248">
        <v>329121</v>
      </c>
      <c r="K100" s="248">
        <v>57435</v>
      </c>
      <c r="L100" s="248">
        <f t="shared" si="5"/>
        <v>271686</v>
      </c>
      <c r="M100" s="249"/>
      <c r="N100" s="249"/>
      <c r="O100" s="249"/>
      <c r="P100" s="249"/>
      <c r="Q100" s="249"/>
      <c r="R100" s="249"/>
      <c r="S100" s="249"/>
      <c r="T100" s="249"/>
      <c r="U100" s="249"/>
      <c r="V100" s="249"/>
      <c r="W100" s="249"/>
      <c r="X100" s="249"/>
      <c r="Y100" s="249">
        <f t="shared" si="6"/>
        <v>0</v>
      </c>
      <c r="Z100" s="249">
        <v>271686</v>
      </c>
      <c r="AA100" s="249" t="s">
        <v>1350</v>
      </c>
      <c r="AB100" s="250">
        <v>44221</v>
      </c>
      <c r="AC100" s="251">
        <v>44225</v>
      </c>
      <c r="AD100" s="249"/>
      <c r="AE100" s="249"/>
      <c r="AF100" s="250"/>
      <c r="AG100" s="250"/>
      <c r="AH100" s="249"/>
      <c r="AI100" s="249"/>
      <c r="AJ100" s="250"/>
      <c r="AK100" s="249"/>
      <c r="AL100" s="249"/>
      <c r="AM100" s="249"/>
      <c r="AN100" s="249"/>
      <c r="AO100" s="249"/>
      <c r="AP100" s="249"/>
      <c r="AQ100" s="249"/>
      <c r="AR100" s="249"/>
      <c r="AS100" s="249"/>
      <c r="AT100" s="249">
        <v>271686</v>
      </c>
      <c r="AU100" s="249">
        <f t="shared" si="7"/>
        <v>271686</v>
      </c>
      <c r="AV100" s="269">
        <f t="shared" si="8"/>
        <v>271686</v>
      </c>
      <c r="AW100" s="269">
        <f t="shared" si="9"/>
        <v>0</v>
      </c>
    </row>
    <row r="101" spans="2:49" s="140" customFormat="1" ht="22.5" x14ac:dyDescent="0.25">
      <c r="B101" s="227">
        <v>85</v>
      </c>
      <c r="C101" s="227" t="s">
        <v>39</v>
      </c>
      <c r="D101" s="28">
        <v>30133162</v>
      </c>
      <c r="E101" s="247" t="s">
        <v>1363</v>
      </c>
      <c r="F101" s="247" t="s">
        <v>366</v>
      </c>
      <c r="G101" s="229" t="s">
        <v>1237</v>
      </c>
      <c r="H101" s="247" t="s">
        <v>1242</v>
      </c>
      <c r="I101" s="247" t="s">
        <v>57</v>
      </c>
      <c r="J101" s="248">
        <v>163600</v>
      </c>
      <c r="K101" s="248">
        <v>144546</v>
      </c>
      <c r="L101" s="248">
        <f t="shared" si="5"/>
        <v>19054</v>
      </c>
      <c r="M101" s="249"/>
      <c r="N101" s="249"/>
      <c r="O101" s="249"/>
      <c r="P101" s="249"/>
      <c r="Q101" s="249"/>
      <c r="R101" s="249"/>
      <c r="S101" s="249"/>
      <c r="T101" s="249"/>
      <c r="U101" s="249"/>
      <c r="V101" s="249"/>
      <c r="W101" s="249"/>
      <c r="X101" s="249"/>
      <c r="Y101" s="249">
        <f t="shared" si="6"/>
        <v>0</v>
      </c>
      <c r="Z101" s="249">
        <v>19054</v>
      </c>
      <c r="AA101" s="249" t="s">
        <v>1350</v>
      </c>
      <c r="AB101" s="250">
        <v>44221</v>
      </c>
      <c r="AC101" s="251">
        <v>44225</v>
      </c>
      <c r="AD101" s="249"/>
      <c r="AE101" s="249"/>
      <c r="AF101" s="250"/>
      <c r="AG101" s="250"/>
      <c r="AH101" s="249"/>
      <c r="AI101" s="249"/>
      <c r="AJ101" s="250"/>
      <c r="AK101" s="249"/>
      <c r="AL101" s="249"/>
      <c r="AM101" s="249"/>
      <c r="AN101" s="249"/>
      <c r="AO101" s="249"/>
      <c r="AP101" s="249"/>
      <c r="AQ101" s="249"/>
      <c r="AR101" s="249"/>
      <c r="AS101" s="249"/>
      <c r="AT101" s="249">
        <v>19054</v>
      </c>
      <c r="AU101" s="249">
        <f t="shared" si="7"/>
        <v>19054</v>
      </c>
      <c r="AV101" s="269">
        <f t="shared" si="8"/>
        <v>19054</v>
      </c>
      <c r="AW101" s="269">
        <f t="shared" si="9"/>
        <v>0</v>
      </c>
    </row>
    <row r="102" spans="2:49" s="140" customFormat="1" ht="22.5" x14ac:dyDescent="0.25">
      <c r="B102" s="227">
        <v>86</v>
      </c>
      <c r="C102" s="227" t="s">
        <v>39</v>
      </c>
      <c r="D102" s="28">
        <v>40005872</v>
      </c>
      <c r="E102" s="247" t="s">
        <v>1364</v>
      </c>
      <c r="F102" s="247" t="s">
        <v>54</v>
      </c>
      <c r="G102" s="229" t="s">
        <v>1237</v>
      </c>
      <c r="H102" s="247" t="s">
        <v>1242</v>
      </c>
      <c r="I102" s="247" t="s">
        <v>57</v>
      </c>
      <c r="J102" s="248">
        <v>70606</v>
      </c>
      <c r="K102" s="248">
        <v>35441</v>
      </c>
      <c r="L102" s="248">
        <f t="shared" si="5"/>
        <v>35165</v>
      </c>
      <c r="M102" s="249"/>
      <c r="N102" s="249"/>
      <c r="O102" s="249"/>
      <c r="P102" s="249"/>
      <c r="Q102" s="249"/>
      <c r="R102" s="249"/>
      <c r="S102" s="249"/>
      <c r="T102" s="249"/>
      <c r="U102" s="249"/>
      <c r="V102" s="249"/>
      <c r="W102" s="249"/>
      <c r="X102" s="249"/>
      <c r="Y102" s="249">
        <f t="shared" si="6"/>
        <v>0</v>
      </c>
      <c r="Z102" s="249">
        <v>35165</v>
      </c>
      <c r="AA102" s="249" t="s">
        <v>1350</v>
      </c>
      <c r="AB102" s="250">
        <v>44221</v>
      </c>
      <c r="AC102" s="251">
        <v>44225</v>
      </c>
      <c r="AD102" s="249"/>
      <c r="AE102" s="249"/>
      <c r="AF102" s="250"/>
      <c r="AG102" s="250"/>
      <c r="AH102" s="249"/>
      <c r="AI102" s="249"/>
      <c r="AJ102" s="250"/>
      <c r="AK102" s="249"/>
      <c r="AL102" s="249"/>
      <c r="AM102" s="249"/>
      <c r="AN102" s="249"/>
      <c r="AO102" s="249"/>
      <c r="AP102" s="249"/>
      <c r="AQ102" s="249"/>
      <c r="AR102" s="249"/>
      <c r="AS102" s="249"/>
      <c r="AT102" s="249">
        <v>35165</v>
      </c>
      <c r="AU102" s="249">
        <f t="shared" si="7"/>
        <v>35165</v>
      </c>
      <c r="AV102" s="269">
        <f t="shared" si="8"/>
        <v>35165</v>
      </c>
      <c r="AW102" s="269">
        <f t="shared" si="9"/>
        <v>0</v>
      </c>
    </row>
    <row r="103" spans="2:49" s="140" customFormat="1" ht="22.5" x14ac:dyDescent="0.25">
      <c r="B103" s="227">
        <v>87</v>
      </c>
      <c r="C103" s="227" t="s">
        <v>39</v>
      </c>
      <c r="D103" s="28">
        <v>30125456</v>
      </c>
      <c r="E103" s="247" t="s">
        <v>1365</v>
      </c>
      <c r="F103" s="247" t="s">
        <v>1256</v>
      </c>
      <c r="G103" s="229" t="s">
        <v>1237</v>
      </c>
      <c r="H103" s="247" t="s">
        <v>1257</v>
      </c>
      <c r="I103" s="247" t="s">
        <v>57</v>
      </c>
      <c r="J103" s="248">
        <v>115140</v>
      </c>
      <c r="K103" s="248">
        <v>104257</v>
      </c>
      <c r="L103" s="248">
        <f t="shared" si="5"/>
        <v>10883</v>
      </c>
      <c r="M103" s="249"/>
      <c r="N103" s="249"/>
      <c r="O103" s="249"/>
      <c r="P103" s="249"/>
      <c r="Q103" s="249"/>
      <c r="R103" s="249"/>
      <c r="S103" s="249"/>
      <c r="T103" s="249"/>
      <c r="U103" s="249"/>
      <c r="V103" s="249"/>
      <c r="W103" s="249"/>
      <c r="X103" s="249"/>
      <c r="Y103" s="249">
        <f t="shared" si="6"/>
        <v>0</v>
      </c>
      <c r="Z103" s="249">
        <v>10883</v>
      </c>
      <c r="AA103" s="249" t="s">
        <v>1350</v>
      </c>
      <c r="AB103" s="250">
        <v>44221</v>
      </c>
      <c r="AC103" s="251">
        <v>44225</v>
      </c>
      <c r="AD103" s="249"/>
      <c r="AE103" s="249"/>
      <c r="AF103" s="250"/>
      <c r="AG103" s="250"/>
      <c r="AH103" s="249"/>
      <c r="AI103" s="249"/>
      <c r="AJ103" s="250"/>
      <c r="AK103" s="249"/>
      <c r="AL103" s="249"/>
      <c r="AM103" s="249"/>
      <c r="AN103" s="249"/>
      <c r="AO103" s="249"/>
      <c r="AP103" s="249"/>
      <c r="AQ103" s="249"/>
      <c r="AR103" s="249"/>
      <c r="AS103" s="249"/>
      <c r="AT103" s="249">
        <v>10883</v>
      </c>
      <c r="AU103" s="249">
        <f t="shared" si="7"/>
        <v>10883</v>
      </c>
      <c r="AV103" s="269">
        <f t="shared" si="8"/>
        <v>10883</v>
      </c>
      <c r="AW103" s="269">
        <f t="shared" si="9"/>
        <v>0</v>
      </c>
    </row>
    <row r="104" spans="2:49" s="140" customFormat="1" x14ac:dyDescent="0.25">
      <c r="B104" s="227">
        <v>88</v>
      </c>
      <c r="C104" s="227" t="s">
        <v>39</v>
      </c>
      <c r="D104" s="28">
        <v>30438672</v>
      </c>
      <c r="E104" s="247" t="s">
        <v>1366</v>
      </c>
      <c r="F104" s="247" t="s">
        <v>54</v>
      </c>
      <c r="G104" s="229" t="s">
        <v>1237</v>
      </c>
      <c r="H104" s="247" t="s">
        <v>1251</v>
      </c>
      <c r="I104" s="247" t="s">
        <v>57</v>
      </c>
      <c r="J104" s="248">
        <v>154110</v>
      </c>
      <c r="K104" s="248">
        <v>85909</v>
      </c>
      <c r="L104" s="248">
        <f t="shared" si="5"/>
        <v>68201</v>
      </c>
      <c r="M104" s="249">
        <v>40792.794000000002</v>
      </c>
      <c r="N104" s="249"/>
      <c r="O104" s="249"/>
      <c r="P104" s="249"/>
      <c r="Q104" s="249"/>
      <c r="R104" s="249"/>
      <c r="S104" s="249"/>
      <c r="T104" s="249"/>
      <c r="U104" s="249"/>
      <c r="V104" s="249"/>
      <c r="W104" s="249"/>
      <c r="X104" s="249"/>
      <c r="Y104" s="249">
        <f t="shared" si="6"/>
        <v>40792.794000000002</v>
      </c>
      <c r="Z104" s="249">
        <v>54345</v>
      </c>
      <c r="AA104" s="249" t="s">
        <v>1350</v>
      </c>
      <c r="AB104" s="250">
        <v>44221</v>
      </c>
      <c r="AC104" s="251">
        <v>44225</v>
      </c>
      <c r="AD104" s="249"/>
      <c r="AE104" s="249"/>
      <c r="AF104" s="250"/>
      <c r="AG104" s="250"/>
      <c r="AH104" s="249"/>
      <c r="AI104" s="249"/>
      <c r="AJ104" s="250"/>
      <c r="AK104" s="249"/>
      <c r="AL104" s="249"/>
      <c r="AM104" s="249"/>
      <c r="AN104" s="249"/>
      <c r="AO104" s="249"/>
      <c r="AP104" s="249"/>
      <c r="AQ104" s="249"/>
      <c r="AR104" s="249"/>
      <c r="AS104" s="249"/>
      <c r="AT104" s="249">
        <v>54345</v>
      </c>
      <c r="AU104" s="249">
        <f t="shared" si="7"/>
        <v>13552.205999999998</v>
      </c>
      <c r="AV104" s="269">
        <f t="shared" si="8"/>
        <v>54345</v>
      </c>
      <c r="AW104" s="269">
        <f t="shared" si="9"/>
        <v>0</v>
      </c>
    </row>
    <row r="105" spans="2:49" s="140" customFormat="1" ht="22.5" x14ac:dyDescent="0.25">
      <c r="B105" s="227">
        <v>89</v>
      </c>
      <c r="C105" s="227" t="s">
        <v>39</v>
      </c>
      <c r="D105" s="28">
        <v>40008163</v>
      </c>
      <c r="E105" s="247" t="s">
        <v>1367</v>
      </c>
      <c r="F105" s="247" t="s">
        <v>54</v>
      </c>
      <c r="G105" s="229" t="s">
        <v>1237</v>
      </c>
      <c r="H105" s="247" t="s">
        <v>1353</v>
      </c>
      <c r="I105" s="247" t="s">
        <v>57</v>
      </c>
      <c r="J105" s="248">
        <v>308292</v>
      </c>
      <c r="K105" s="248">
        <v>24717</v>
      </c>
      <c r="L105" s="248">
        <f t="shared" si="5"/>
        <v>283575</v>
      </c>
      <c r="M105" s="249"/>
      <c r="N105" s="249"/>
      <c r="O105" s="249">
        <v>27775.702000000001</v>
      </c>
      <c r="P105" s="249"/>
      <c r="Q105" s="249"/>
      <c r="R105" s="249"/>
      <c r="S105" s="249"/>
      <c r="T105" s="249"/>
      <c r="U105" s="249"/>
      <c r="V105" s="249"/>
      <c r="W105" s="249"/>
      <c r="X105" s="249"/>
      <c r="Y105" s="249">
        <f t="shared" si="6"/>
        <v>27775.702000000001</v>
      </c>
      <c r="Z105" s="249">
        <v>283575</v>
      </c>
      <c r="AA105" s="249" t="s">
        <v>1350</v>
      </c>
      <c r="AB105" s="250">
        <v>44221</v>
      </c>
      <c r="AC105" s="251">
        <v>44225</v>
      </c>
      <c r="AD105" s="249"/>
      <c r="AE105" s="249"/>
      <c r="AF105" s="250"/>
      <c r="AG105" s="250"/>
      <c r="AH105" s="249"/>
      <c r="AI105" s="249"/>
      <c r="AJ105" s="250"/>
      <c r="AK105" s="249"/>
      <c r="AL105" s="249"/>
      <c r="AM105" s="249"/>
      <c r="AN105" s="249"/>
      <c r="AO105" s="249"/>
      <c r="AP105" s="249"/>
      <c r="AQ105" s="249"/>
      <c r="AR105" s="249"/>
      <c r="AS105" s="249"/>
      <c r="AT105" s="249">
        <v>283575</v>
      </c>
      <c r="AU105" s="249">
        <f t="shared" si="7"/>
        <v>255799.29800000001</v>
      </c>
      <c r="AV105" s="269">
        <f t="shared" si="8"/>
        <v>283575</v>
      </c>
      <c r="AW105" s="269">
        <f t="shared" si="9"/>
        <v>0</v>
      </c>
    </row>
    <row r="106" spans="2:49" s="140" customFormat="1" ht="22.5" x14ac:dyDescent="0.25">
      <c r="B106" s="227">
        <v>90</v>
      </c>
      <c r="C106" s="227" t="s">
        <v>39</v>
      </c>
      <c r="D106" s="28">
        <v>30446772</v>
      </c>
      <c r="E106" s="247" t="s">
        <v>1368</v>
      </c>
      <c r="F106" s="247" t="s">
        <v>1256</v>
      </c>
      <c r="G106" s="229" t="s">
        <v>1237</v>
      </c>
      <c r="H106" s="247" t="s">
        <v>1300</v>
      </c>
      <c r="I106" s="247" t="s">
        <v>57</v>
      </c>
      <c r="J106" s="248">
        <v>264332</v>
      </c>
      <c r="K106" s="248">
        <v>247508</v>
      </c>
      <c r="L106" s="248">
        <f t="shared" si="5"/>
        <v>16824</v>
      </c>
      <c r="M106" s="249"/>
      <c r="N106" s="249"/>
      <c r="O106" s="249"/>
      <c r="P106" s="249"/>
      <c r="Q106" s="249"/>
      <c r="R106" s="249"/>
      <c r="S106" s="249"/>
      <c r="T106" s="249"/>
      <c r="U106" s="249"/>
      <c r="V106" s="249"/>
      <c r="W106" s="249"/>
      <c r="X106" s="249"/>
      <c r="Y106" s="249">
        <f t="shared" si="6"/>
        <v>0</v>
      </c>
      <c r="Z106" s="249">
        <v>16824</v>
      </c>
      <c r="AA106" s="249" t="s">
        <v>1350</v>
      </c>
      <c r="AB106" s="250">
        <v>44221</v>
      </c>
      <c r="AC106" s="251">
        <v>44225</v>
      </c>
      <c r="AD106" s="249"/>
      <c r="AE106" s="249"/>
      <c r="AF106" s="250"/>
      <c r="AG106" s="250"/>
      <c r="AH106" s="249"/>
      <c r="AI106" s="249"/>
      <c r="AJ106" s="250"/>
      <c r="AK106" s="249"/>
      <c r="AL106" s="249"/>
      <c r="AM106" s="249"/>
      <c r="AN106" s="249"/>
      <c r="AO106" s="249"/>
      <c r="AP106" s="249"/>
      <c r="AQ106" s="249"/>
      <c r="AR106" s="249"/>
      <c r="AS106" s="249"/>
      <c r="AT106" s="249">
        <v>16824</v>
      </c>
      <c r="AU106" s="249">
        <f t="shared" si="7"/>
        <v>16824</v>
      </c>
      <c r="AV106" s="269">
        <f t="shared" si="8"/>
        <v>16824</v>
      </c>
      <c r="AW106" s="269">
        <f t="shared" si="9"/>
        <v>0</v>
      </c>
    </row>
    <row r="107" spans="2:49" s="140" customFormat="1" ht="22.5" x14ac:dyDescent="0.25">
      <c r="B107" s="227">
        <v>91</v>
      </c>
      <c r="C107" s="227" t="s">
        <v>39</v>
      </c>
      <c r="D107" s="28">
        <v>40002933</v>
      </c>
      <c r="E107" s="247" t="s">
        <v>1369</v>
      </c>
      <c r="F107" s="247" t="s">
        <v>1256</v>
      </c>
      <c r="G107" s="229" t="s">
        <v>1237</v>
      </c>
      <c r="H107" s="247" t="s">
        <v>1370</v>
      </c>
      <c r="I107" s="247" t="s">
        <v>57</v>
      </c>
      <c r="J107" s="248">
        <v>67334</v>
      </c>
      <c r="K107" s="248">
        <v>19693</v>
      </c>
      <c r="L107" s="248">
        <f t="shared" si="5"/>
        <v>47641</v>
      </c>
      <c r="M107" s="249"/>
      <c r="N107" s="249"/>
      <c r="O107" s="249"/>
      <c r="P107" s="249"/>
      <c r="Q107" s="249"/>
      <c r="R107" s="249"/>
      <c r="S107" s="249"/>
      <c r="T107" s="249"/>
      <c r="U107" s="249"/>
      <c r="V107" s="249"/>
      <c r="W107" s="249"/>
      <c r="X107" s="249"/>
      <c r="Y107" s="249">
        <f t="shared" si="6"/>
        <v>0</v>
      </c>
      <c r="Z107" s="249">
        <v>47641</v>
      </c>
      <c r="AA107" s="249" t="s">
        <v>1350</v>
      </c>
      <c r="AB107" s="250">
        <v>44221</v>
      </c>
      <c r="AC107" s="251">
        <v>44225</v>
      </c>
      <c r="AD107" s="249"/>
      <c r="AE107" s="249"/>
      <c r="AF107" s="250"/>
      <c r="AG107" s="250"/>
      <c r="AH107" s="249"/>
      <c r="AI107" s="249"/>
      <c r="AJ107" s="250"/>
      <c r="AK107" s="249"/>
      <c r="AL107" s="249"/>
      <c r="AM107" s="249"/>
      <c r="AN107" s="249"/>
      <c r="AO107" s="249"/>
      <c r="AP107" s="249"/>
      <c r="AQ107" s="249"/>
      <c r="AR107" s="249"/>
      <c r="AS107" s="249"/>
      <c r="AT107" s="249">
        <v>47641</v>
      </c>
      <c r="AU107" s="249">
        <f t="shared" si="7"/>
        <v>47641</v>
      </c>
      <c r="AV107" s="269">
        <f t="shared" si="8"/>
        <v>47641</v>
      </c>
      <c r="AW107" s="269">
        <f t="shared" si="9"/>
        <v>0</v>
      </c>
    </row>
    <row r="108" spans="2:49" s="140" customFormat="1" ht="22.5" x14ac:dyDescent="0.25">
      <c r="B108" s="227">
        <v>92</v>
      </c>
      <c r="C108" s="227" t="s">
        <v>39</v>
      </c>
      <c r="D108" s="28">
        <v>40000019</v>
      </c>
      <c r="E108" s="247" t="s">
        <v>1371</v>
      </c>
      <c r="F108" s="247" t="s">
        <v>1256</v>
      </c>
      <c r="G108" s="229" t="s">
        <v>1237</v>
      </c>
      <c r="H108" s="247" t="s">
        <v>1242</v>
      </c>
      <c r="I108" s="247" t="s">
        <v>57</v>
      </c>
      <c r="J108" s="248">
        <v>127136</v>
      </c>
      <c r="K108" s="248">
        <v>19579</v>
      </c>
      <c r="L108" s="248">
        <f t="shared" si="5"/>
        <v>107557</v>
      </c>
      <c r="M108" s="249"/>
      <c r="N108" s="249"/>
      <c r="O108" s="249"/>
      <c r="P108" s="249"/>
      <c r="Q108" s="249"/>
      <c r="R108" s="249"/>
      <c r="S108" s="249"/>
      <c r="T108" s="249"/>
      <c r="U108" s="249"/>
      <c r="V108" s="249"/>
      <c r="W108" s="249"/>
      <c r="X108" s="249"/>
      <c r="Y108" s="249">
        <f t="shared" si="6"/>
        <v>0</v>
      </c>
      <c r="Z108" s="249">
        <v>107557</v>
      </c>
      <c r="AA108" s="249" t="s">
        <v>1350</v>
      </c>
      <c r="AB108" s="250">
        <v>44221</v>
      </c>
      <c r="AC108" s="251">
        <v>44225</v>
      </c>
      <c r="AD108" s="249"/>
      <c r="AE108" s="249"/>
      <c r="AF108" s="250"/>
      <c r="AG108" s="250"/>
      <c r="AH108" s="249"/>
      <c r="AI108" s="249"/>
      <c r="AJ108" s="250"/>
      <c r="AK108" s="249"/>
      <c r="AL108" s="249"/>
      <c r="AM108" s="249"/>
      <c r="AN108" s="249"/>
      <c r="AO108" s="249"/>
      <c r="AP108" s="249"/>
      <c r="AQ108" s="249"/>
      <c r="AR108" s="249"/>
      <c r="AS108" s="249"/>
      <c r="AT108" s="249">
        <v>107557</v>
      </c>
      <c r="AU108" s="249">
        <f t="shared" si="7"/>
        <v>107557</v>
      </c>
      <c r="AV108" s="269">
        <f t="shared" si="8"/>
        <v>107557</v>
      </c>
      <c r="AW108" s="269">
        <f t="shared" si="9"/>
        <v>0</v>
      </c>
    </row>
    <row r="109" spans="2:49" s="140" customFormat="1" ht="22.5" x14ac:dyDescent="0.25">
      <c r="B109" s="227">
        <v>93</v>
      </c>
      <c r="C109" s="227" t="s">
        <v>39</v>
      </c>
      <c r="D109" s="28">
        <v>30137138</v>
      </c>
      <c r="E109" s="247" t="s">
        <v>1372</v>
      </c>
      <c r="F109" s="247" t="s">
        <v>1256</v>
      </c>
      <c r="G109" s="229" t="s">
        <v>1237</v>
      </c>
      <c r="H109" s="247" t="s">
        <v>1300</v>
      </c>
      <c r="I109" s="247" t="s">
        <v>57</v>
      </c>
      <c r="J109" s="248">
        <v>61070</v>
      </c>
      <c r="K109" s="248">
        <v>38786</v>
      </c>
      <c r="L109" s="248">
        <f t="shared" si="5"/>
        <v>22284</v>
      </c>
      <c r="M109" s="249"/>
      <c r="N109" s="249"/>
      <c r="O109" s="249"/>
      <c r="P109" s="249"/>
      <c r="Q109" s="249"/>
      <c r="R109" s="249"/>
      <c r="S109" s="249"/>
      <c r="T109" s="249"/>
      <c r="U109" s="249"/>
      <c r="V109" s="249"/>
      <c r="W109" s="249"/>
      <c r="X109" s="249"/>
      <c r="Y109" s="249">
        <f t="shared" si="6"/>
        <v>0</v>
      </c>
      <c r="Z109" s="249">
        <v>22284</v>
      </c>
      <c r="AA109" s="249" t="s">
        <v>1350</v>
      </c>
      <c r="AB109" s="250">
        <v>44221</v>
      </c>
      <c r="AC109" s="251">
        <v>44225</v>
      </c>
      <c r="AD109" s="249"/>
      <c r="AE109" s="249"/>
      <c r="AF109" s="250"/>
      <c r="AG109" s="250"/>
      <c r="AH109" s="249"/>
      <c r="AI109" s="249"/>
      <c r="AJ109" s="250"/>
      <c r="AK109" s="249"/>
      <c r="AL109" s="249"/>
      <c r="AM109" s="249"/>
      <c r="AN109" s="249"/>
      <c r="AO109" s="249"/>
      <c r="AP109" s="249"/>
      <c r="AQ109" s="249"/>
      <c r="AR109" s="249"/>
      <c r="AS109" s="249"/>
      <c r="AT109" s="249">
        <v>22284</v>
      </c>
      <c r="AU109" s="249">
        <f t="shared" si="7"/>
        <v>22284</v>
      </c>
      <c r="AV109" s="269">
        <f t="shared" si="8"/>
        <v>22284</v>
      </c>
      <c r="AW109" s="269">
        <f t="shared" si="9"/>
        <v>0</v>
      </c>
    </row>
    <row r="110" spans="2:49" s="140" customFormat="1" ht="22.5" x14ac:dyDescent="0.25">
      <c r="B110" s="227">
        <v>94</v>
      </c>
      <c r="C110" s="227" t="s">
        <v>39</v>
      </c>
      <c r="D110" s="28">
        <v>30381122</v>
      </c>
      <c r="E110" s="247" t="s">
        <v>1373</v>
      </c>
      <c r="F110" s="247" t="s">
        <v>1256</v>
      </c>
      <c r="G110" s="229" t="s">
        <v>1237</v>
      </c>
      <c r="H110" s="247" t="s">
        <v>1242</v>
      </c>
      <c r="I110" s="247" t="s">
        <v>57</v>
      </c>
      <c r="J110" s="248">
        <v>37664</v>
      </c>
      <c r="K110" s="248">
        <v>27584</v>
      </c>
      <c r="L110" s="248">
        <f t="shared" si="5"/>
        <v>10080</v>
      </c>
      <c r="M110" s="249"/>
      <c r="N110" s="249"/>
      <c r="O110" s="249"/>
      <c r="P110" s="249"/>
      <c r="Q110" s="249"/>
      <c r="R110" s="249"/>
      <c r="S110" s="249"/>
      <c r="T110" s="249"/>
      <c r="U110" s="249"/>
      <c r="V110" s="249"/>
      <c r="W110" s="249"/>
      <c r="X110" s="249"/>
      <c r="Y110" s="249">
        <f t="shared" si="6"/>
        <v>0</v>
      </c>
      <c r="Z110" s="249">
        <v>10080</v>
      </c>
      <c r="AA110" s="249" t="s">
        <v>1350</v>
      </c>
      <c r="AB110" s="250">
        <v>44221</v>
      </c>
      <c r="AC110" s="251">
        <v>44225</v>
      </c>
      <c r="AD110" s="249"/>
      <c r="AE110" s="249"/>
      <c r="AF110" s="250"/>
      <c r="AG110" s="250"/>
      <c r="AH110" s="249"/>
      <c r="AI110" s="249"/>
      <c r="AJ110" s="250"/>
      <c r="AK110" s="249"/>
      <c r="AL110" s="249"/>
      <c r="AM110" s="249"/>
      <c r="AN110" s="249"/>
      <c r="AO110" s="249"/>
      <c r="AP110" s="249"/>
      <c r="AQ110" s="249"/>
      <c r="AR110" s="249"/>
      <c r="AS110" s="249"/>
      <c r="AT110" s="249">
        <v>10080</v>
      </c>
      <c r="AU110" s="249">
        <f t="shared" si="7"/>
        <v>10080</v>
      </c>
      <c r="AV110" s="269">
        <f t="shared" si="8"/>
        <v>10080</v>
      </c>
      <c r="AW110" s="269">
        <f t="shared" si="9"/>
        <v>0</v>
      </c>
    </row>
    <row r="111" spans="2:49" s="140" customFormat="1" ht="22.5" x14ac:dyDescent="0.25">
      <c r="B111" s="227">
        <v>95</v>
      </c>
      <c r="C111" s="227" t="s">
        <v>39</v>
      </c>
      <c r="D111" s="28">
        <v>40014969</v>
      </c>
      <c r="E111" s="247" t="s">
        <v>1374</v>
      </c>
      <c r="F111" s="247" t="s">
        <v>54</v>
      </c>
      <c r="G111" s="229" t="s">
        <v>1237</v>
      </c>
      <c r="H111" s="247" t="s">
        <v>1375</v>
      </c>
      <c r="I111" s="247" t="s">
        <v>72</v>
      </c>
      <c r="J111" s="248">
        <v>970472</v>
      </c>
      <c r="K111" s="248"/>
      <c r="L111" s="248">
        <f t="shared" si="5"/>
        <v>970472</v>
      </c>
      <c r="M111" s="249"/>
      <c r="N111" s="249"/>
      <c r="O111" s="249"/>
      <c r="P111" s="249"/>
      <c r="Q111" s="249"/>
      <c r="R111" s="249"/>
      <c r="S111" s="249"/>
      <c r="T111" s="249"/>
      <c r="U111" s="249"/>
      <c r="V111" s="249"/>
      <c r="W111" s="249"/>
      <c r="X111" s="249"/>
      <c r="Y111" s="249">
        <f t="shared" si="6"/>
        <v>0</v>
      </c>
      <c r="Z111" s="249">
        <v>1</v>
      </c>
      <c r="AA111" s="249" t="s">
        <v>1376</v>
      </c>
      <c r="AB111" s="250">
        <v>44225</v>
      </c>
      <c r="AC111" s="251">
        <v>44244</v>
      </c>
      <c r="AD111" s="249"/>
      <c r="AE111" s="249"/>
      <c r="AF111" s="250"/>
      <c r="AG111" s="250"/>
      <c r="AH111" s="249"/>
      <c r="AI111" s="249"/>
      <c r="AJ111" s="250"/>
      <c r="AK111" s="249"/>
      <c r="AL111" s="249"/>
      <c r="AM111" s="249"/>
      <c r="AN111" s="249"/>
      <c r="AO111" s="249"/>
      <c r="AP111" s="249"/>
      <c r="AQ111" s="249"/>
      <c r="AR111" s="249"/>
      <c r="AS111" s="249"/>
      <c r="AT111" s="249">
        <v>1</v>
      </c>
      <c r="AU111" s="249">
        <f t="shared" si="7"/>
        <v>1</v>
      </c>
      <c r="AV111" s="269">
        <f t="shared" si="8"/>
        <v>1</v>
      </c>
      <c r="AW111" s="269">
        <f t="shared" si="9"/>
        <v>0</v>
      </c>
    </row>
    <row r="112" spans="2:49" s="140" customFormat="1" ht="22.5" x14ac:dyDescent="0.25">
      <c r="B112" s="227">
        <v>96</v>
      </c>
      <c r="C112" s="227" t="s">
        <v>39</v>
      </c>
      <c r="D112" s="28">
        <v>40017092</v>
      </c>
      <c r="E112" s="247" t="s">
        <v>1377</v>
      </c>
      <c r="F112" s="247" t="s">
        <v>1256</v>
      </c>
      <c r="G112" s="229" t="s">
        <v>1237</v>
      </c>
      <c r="H112" s="247" t="s">
        <v>1288</v>
      </c>
      <c r="I112" s="247" t="s">
        <v>72</v>
      </c>
      <c r="J112" s="248">
        <v>31952</v>
      </c>
      <c r="K112" s="248"/>
      <c r="L112" s="248">
        <f t="shared" si="5"/>
        <v>31952</v>
      </c>
      <c r="M112" s="249"/>
      <c r="N112" s="249"/>
      <c r="O112" s="249"/>
      <c r="P112" s="249"/>
      <c r="Q112" s="249"/>
      <c r="R112" s="249"/>
      <c r="S112" s="249"/>
      <c r="T112" s="249"/>
      <c r="U112" s="249"/>
      <c r="V112" s="249"/>
      <c r="W112" s="249"/>
      <c r="X112" s="249"/>
      <c r="Y112" s="249">
        <f t="shared" si="6"/>
        <v>0</v>
      </c>
      <c r="Z112" s="249">
        <v>1</v>
      </c>
      <c r="AA112" s="249" t="s">
        <v>1376</v>
      </c>
      <c r="AB112" s="250">
        <v>44225</v>
      </c>
      <c r="AC112" s="251">
        <v>44244</v>
      </c>
      <c r="AD112" s="249"/>
      <c r="AE112" s="249"/>
      <c r="AF112" s="250"/>
      <c r="AG112" s="250"/>
      <c r="AH112" s="249"/>
      <c r="AI112" s="249"/>
      <c r="AJ112" s="250"/>
      <c r="AK112" s="249"/>
      <c r="AL112" s="249"/>
      <c r="AM112" s="249"/>
      <c r="AN112" s="249"/>
      <c r="AO112" s="249"/>
      <c r="AP112" s="249"/>
      <c r="AQ112" s="249"/>
      <c r="AR112" s="249"/>
      <c r="AS112" s="249"/>
      <c r="AT112" s="249">
        <v>1</v>
      </c>
      <c r="AU112" s="249">
        <f t="shared" si="7"/>
        <v>1</v>
      </c>
      <c r="AV112" s="269">
        <f t="shared" si="8"/>
        <v>1</v>
      </c>
      <c r="AW112" s="269">
        <f t="shared" si="9"/>
        <v>0</v>
      </c>
    </row>
    <row r="113" spans="2:49" s="140" customFormat="1" ht="22.5" x14ac:dyDescent="0.25">
      <c r="B113" s="227">
        <v>97</v>
      </c>
      <c r="C113" s="227" t="s">
        <v>39</v>
      </c>
      <c r="D113" s="28">
        <v>30484277</v>
      </c>
      <c r="E113" s="247" t="s">
        <v>1378</v>
      </c>
      <c r="F113" s="247" t="s">
        <v>54</v>
      </c>
      <c r="G113" s="229" t="s">
        <v>1237</v>
      </c>
      <c r="H113" s="247" t="s">
        <v>1288</v>
      </c>
      <c r="I113" s="247" t="s">
        <v>72</v>
      </c>
      <c r="J113" s="248">
        <v>92302</v>
      </c>
      <c r="K113" s="248"/>
      <c r="L113" s="248">
        <f t="shared" si="5"/>
        <v>92302</v>
      </c>
      <c r="M113" s="249"/>
      <c r="N113" s="249"/>
      <c r="O113" s="249"/>
      <c r="P113" s="249"/>
      <c r="Q113" s="249"/>
      <c r="R113" s="249"/>
      <c r="S113" s="249"/>
      <c r="T113" s="249"/>
      <c r="U113" s="249"/>
      <c r="V113" s="249"/>
      <c r="W113" s="249"/>
      <c r="X113" s="249"/>
      <c r="Y113" s="249">
        <f t="shared" si="6"/>
        <v>0</v>
      </c>
      <c r="Z113" s="249">
        <v>2</v>
      </c>
      <c r="AA113" s="249" t="s">
        <v>1376</v>
      </c>
      <c r="AB113" s="250">
        <v>44225</v>
      </c>
      <c r="AC113" s="251">
        <v>44244</v>
      </c>
      <c r="AD113" s="249"/>
      <c r="AE113" s="249"/>
      <c r="AF113" s="250"/>
      <c r="AG113" s="250"/>
      <c r="AH113" s="249"/>
      <c r="AI113" s="249"/>
      <c r="AJ113" s="250"/>
      <c r="AK113" s="249"/>
      <c r="AL113" s="249"/>
      <c r="AM113" s="249"/>
      <c r="AN113" s="249"/>
      <c r="AO113" s="249"/>
      <c r="AP113" s="249"/>
      <c r="AQ113" s="249"/>
      <c r="AR113" s="249"/>
      <c r="AS113" s="249"/>
      <c r="AT113" s="249">
        <v>2</v>
      </c>
      <c r="AU113" s="249">
        <f t="shared" si="7"/>
        <v>2</v>
      </c>
      <c r="AV113" s="269">
        <f t="shared" si="8"/>
        <v>2</v>
      </c>
      <c r="AW113" s="269">
        <f t="shared" si="9"/>
        <v>0</v>
      </c>
    </row>
    <row r="114" spans="2:49" s="140" customFormat="1" ht="22.5" x14ac:dyDescent="0.25">
      <c r="B114" s="227">
        <v>98</v>
      </c>
      <c r="C114" s="227" t="s">
        <v>39</v>
      </c>
      <c r="D114" s="28">
        <v>30482162</v>
      </c>
      <c r="E114" s="247" t="s">
        <v>1379</v>
      </c>
      <c r="F114" s="247" t="s">
        <v>54</v>
      </c>
      <c r="G114" s="229" t="s">
        <v>1237</v>
      </c>
      <c r="H114" s="247" t="s">
        <v>1288</v>
      </c>
      <c r="I114" s="247" t="s">
        <v>72</v>
      </c>
      <c r="J114" s="248">
        <v>216309</v>
      </c>
      <c r="K114" s="248"/>
      <c r="L114" s="248">
        <f t="shared" si="5"/>
        <v>216309</v>
      </c>
      <c r="M114" s="249"/>
      <c r="N114" s="249"/>
      <c r="O114" s="249"/>
      <c r="P114" s="249"/>
      <c r="Q114" s="249"/>
      <c r="R114" s="249"/>
      <c r="S114" s="249"/>
      <c r="T114" s="249"/>
      <c r="U114" s="249"/>
      <c r="V114" s="249"/>
      <c r="W114" s="249"/>
      <c r="X114" s="249"/>
      <c r="Y114" s="249">
        <f t="shared" si="6"/>
        <v>0</v>
      </c>
      <c r="Z114" s="249">
        <v>2</v>
      </c>
      <c r="AA114" s="249" t="s">
        <v>1376</v>
      </c>
      <c r="AB114" s="250">
        <v>44225</v>
      </c>
      <c r="AC114" s="251">
        <v>44244</v>
      </c>
      <c r="AD114" s="249"/>
      <c r="AE114" s="249"/>
      <c r="AF114" s="250"/>
      <c r="AG114" s="250"/>
      <c r="AH114" s="249"/>
      <c r="AI114" s="249"/>
      <c r="AJ114" s="250"/>
      <c r="AK114" s="249"/>
      <c r="AL114" s="249"/>
      <c r="AM114" s="249"/>
      <c r="AN114" s="249"/>
      <c r="AO114" s="249"/>
      <c r="AP114" s="249"/>
      <c r="AQ114" s="249"/>
      <c r="AR114" s="249"/>
      <c r="AS114" s="249"/>
      <c r="AT114" s="249">
        <v>2</v>
      </c>
      <c r="AU114" s="249">
        <f t="shared" si="7"/>
        <v>2</v>
      </c>
      <c r="AV114" s="269">
        <f t="shared" si="8"/>
        <v>2</v>
      </c>
      <c r="AW114" s="269">
        <f t="shared" si="9"/>
        <v>0</v>
      </c>
    </row>
    <row r="115" spans="2:49" s="140" customFormat="1" ht="22.5" x14ac:dyDescent="0.25">
      <c r="B115" s="227">
        <v>99</v>
      </c>
      <c r="C115" s="227" t="s">
        <v>39</v>
      </c>
      <c r="D115" s="28">
        <v>30476440</v>
      </c>
      <c r="E115" s="247" t="s">
        <v>1380</v>
      </c>
      <c r="F115" s="247" t="s">
        <v>54</v>
      </c>
      <c r="G115" s="229" t="s">
        <v>1237</v>
      </c>
      <c r="H115" s="247" t="s">
        <v>1288</v>
      </c>
      <c r="I115" s="247" t="s">
        <v>72</v>
      </c>
      <c r="J115" s="248">
        <v>159612</v>
      </c>
      <c r="K115" s="248"/>
      <c r="L115" s="248">
        <f t="shared" si="5"/>
        <v>159612</v>
      </c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>
        <f t="shared" si="6"/>
        <v>0</v>
      </c>
      <c r="Z115" s="249">
        <v>2</v>
      </c>
      <c r="AA115" s="249" t="s">
        <v>1376</v>
      </c>
      <c r="AB115" s="250">
        <v>44225</v>
      </c>
      <c r="AC115" s="251">
        <v>44244</v>
      </c>
      <c r="AD115" s="249"/>
      <c r="AE115" s="249"/>
      <c r="AF115" s="250"/>
      <c r="AG115" s="250"/>
      <c r="AH115" s="249"/>
      <c r="AI115" s="249"/>
      <c r="AJ115" s="250"/>
      <c r="AK115" s="249"/>
      <c r="AL115" s="249"/>
      <c r="AM115" s="249"/>
      <c r="AN115" s="249"/>
      <c r="AO115" s="249"/>
      <c r="AP115" s="249"/>
      <c r="AQ115" s="249"/>
      <c r="AR115" s="249"/>
      <c r="AS115" s="249"/>
      <c r="AT115" s="249">
        <v>2</v>
      </c>
      <c r="AU115" s="249">
        <f t="shared" si="7"/>
        <v>2</v>
      </c>
      <c r="AV115" s="269">
        <f t="shared" si="8"/>
        <v>2</v>
      </c>
      <c r="AW115" s="269">
        <f t="shared" si="9"/>
        <v>0</v>
      </c>
    </row>
    <row r="116" spans="2:49" s="140" customFormat="1" ht="22.5" x14ac:dyDescent="0.25">
      <c r="B116" s="227">
        <v>100</v>
      </c>
      <c r="C116" s="227" t="s">
        <v>39</v>
      </c>
      <c r="D116" s="28">
        <v>40019993</v>
      </c>
      <c r="E116" s="247" t="s">
        <v>1381</v>
      </c>
      <c r="F116" s="247" t="s">
        <v>1256</v>
      </c>
      <c r="G116" s="229" t="s">
        <v>1237</v>
      </c>
      <c r="H116" s="247" t="s">
        <v>1294</v>
      </c>
      <c r="I116" s="247" t="s">
        <v>72</v>
      </c>
      <c r="J116" s="248">
        <v>100972</v>
      </c>
      <c r="K116" s="248"/>
      <c r="L116" s="248">
        <f t="shared" si="5"/>
        <v>100972</v>
      </c>
      <c r="M116" s="249"/>
      <c r="N116" s="249"/>
      <c r="O116" s="249"/>
      <c r="P116" s="249"/>
      <c r="Q116" s="249"/>
      <c r="R116" s="249"/>
      <c r="S116" s="249"/>
      <c r="T116" s="249"/>
      <c r="U116" s="249"/>
      <c r="V116" s="249"/>
      <c r="W116" s="249"/>
      <c r="X116" s="249"/>
      <c r="Y116" s="249">
        <f t="shared" si="6"/>
        <v>0</v>
      </c>
      <c r="Z116" s="249">
        <v>1</v>
      </c>
      <c r="AA116" s="249" t="s">
        <v>1376</v>
      </c>
      <c r="AB116" s="250">
        <v>44225</v>
      </c>
      <c r="AC116" s="251">
        <v>44244</v>
      </c>
      <c r="AD116" s="249"/>
      <c r="AE116" s="249"/>
      <c r="AF116" s="250"/>
      <c r="AG116" s="250"/>
      <c r="AH116" s="249"/>
      <c r="AI116" s="249"/>
      <c r="AJ116" s="250"/>
      <c r="AK116" s="249"/>
      <c r="AL116" s="249"/>
      <c r="AM116" s="249"/>
      <c r="AN116" s="249"/>
      <c r="AO116" s="249"/>
      <c r="AP116" s="249"/>
      <c r="AQ116" s="249"/>
      <c r="AR116" s="249"/>
      <c r="AS116" s="249"/>
      <c r="AT116" s="249">
        <v>1</v>
      </c>
      <c r="AU116" s="249">
        <f t="shared" si="7"/>
        <v>1</v>
      </c>
      <c r="AV116" s="269">
        <f t="shared" si="8"/>
        <v>1</v>
      </c>
      <c r="AW116" s="269">
        <f t="shared" si="9"/>
        <v>0</v>
      </c>
    </row>
    <row r="117" spans="2:49" s="140" customFormat="1" x14ac:dyDescent="0.25">
      <c r="B117" s="227">
        <v>101</v>
      </c>
      <c r="C117" s="227" t="s">
        <v>42</v>
      </c>
      <c r="D117" s="28">
        <v>40024349</v>
      </c>
      <c r="E117" s="247" t="s">
        <v>1382</v>
      </c>
      <c r="F117" s="247" t="s">
        <v>54</v>
      </c>
      <c r="G117" s="229" t="s">
        <v>1237</v>
      </c>
      <c r="H117" s="247" t="s">
        <v>1353</v>
      </c>
      <c r="I117" s="247" t="s">
        <v>72</v>
      </c>
      <c r="J117" s="248">
        <v>58303</v>
      </c>
      <c r="K117" s="248"/>
      <c r="L117" s="248">
        <f t="shared" si="5"/>
        <v>58303</v>
      </c>
      <c r="M117" s="249"/>
      <c r="N117" s="249"/>
      <c r="O117" s="249"/>
      <c r="P117" s="249"/>
      <c r="Q117" s="249"/>
      <c r="R117" s="249"/>
      <c r="S117" s="249"/>
      <c r="T117" s="249"/>
      <c r="U117" s="249"/>
      <c r="V117" s="249"/>
      <c r="W117" s="249"/>
      <c r="X117" s="249"/>
      <c r="Y117" s="249">
        <f t="shared" si="6"/>
        <v>0</v>
      </c>
      <c r="Z117" s="249">
        <v>1</v>
      </c>
      <c r="AA117" s="249" t="s">
        <v>1376</v>
      </c>
      <c r="AB117" s="250">
        <v>44225</v>
      </c>
      <c r="AC117" s="251">
        <v>44244</v>
      </c>
      <c r="AD117" s="249"/>
      <c r="AE117" s="249"/>
      <c r="AF117" s="250"/>
      <c r="AG117" s="250"/>
      <c r="AH117" s="249"/>
      <c r="AI117" s="249"/>
      <c r="AJ117" s="250"/>
      <c r="AK117" s="249"/>
      <c r="AL117" s="249"/>
      <c r="AM117" s="249"/>
      <c r="AN117" s="249"/>
      <c r="AO117" s="249"/>
      <c r="AP117" s="249"/>
      <c r="AQ117" s="249"/>
      <c r="AR117" s="249"/>
      <c r="AS117" s="249"/>
      <c r="AT117" s="249">
        <v>1</v>
      </c>
      <c r="AU117" s="249">
        <f t="shared" si="7"/>
        <v>1</v>
      </c>
      <c r="AV117" s="269">
        <f t="shared" si="8"/>
        <v>1</v>
      </c>
      <c r="AW117" s="269">
        <f t="shared" si="9"/>
        <v>0</v>
      </c>
    </row>
    <row r="118" spans="2:49" s="140" customFormat="1" x14ac:dyDescent="0.25">
      <c r="B118" s="227">
        <v>102</v>
      </c>
      <c r="C118" s="227" t="s">
        <v>39</v>
      </c>
      <c r="D118" s="28">
        <v>40009328</v>
      </c>
      <c r="E118" s="247" t="s">
        <v>1383</v>
      </c>
      <c r="F118" s="247" t="s">
        <v>54</v>
      </c>
      <c r="G118" s="229" t="s">
        <v>1237</v>
      </c>
      <c r="H118" s="247" t="s">
        <v>1353</v>
      </c>
      <c r="I118" s="247" t="s">
        <v>72</v>
      </c>
      <c r="J118" s="248">
        <v>346406</v>
      </c>
      <c r="K118" s="248"/>
      <c r="L118" s="248">
        <f t="shared" si="5"/>
        <v>346406</v>
      </c>
      <c r="M118" s="249"/>
      <c r="N118" s="249"/>
      <c r="O118" s="249"/>
      <c r="P118" s="249"/>
      <c r="Q118" s="249"/>
      <c r="R118" s="249"/>
      <c r="S118" s="249"/>
      <c r="T118" s="249"/>
      <c r="U118" s="249"/>
      <c r="V118" s="249"/>
      <c r="W118" s="249"/>
      <c r="X118" s="249"/>
      <c r="Y118" s="249">
        <f t="shared" si="6"/>
        <v>0</v>
      </c>
      <c r="Z118" s="249">
        <v>3</v>
      </c>
      <c r="AA118" s="249" t="s">
        <v>1376</v>
      </c>
      <c r="AB118" s="250">
        <v>44225</v>
      </c>
      <c r="AC118" s="251">
        <v>44244</v>
      </c>
      <c r="AD118" s="249"/>
      <c r="AE118" s="249"/>
      <c r="AF118" s="250"/>
      <c r="AG118" s="250"/>
      <c r="AH118" s="249"/>
      <c r="AI118" s="249"/>
      <c r="AJ118" s="250"/>
      <c r="AK118" s="249"/>
      <c r="AL118" s="249"/>
      <c r="AM118" s="249"/>
      <c r="AN118" s="249"/>
      <c r="AO118" s="249"/>
      <c r="AP118" s="249"/>
      <c r="AQ118" s="249"/>
      <c r="AR118" s="249"/>
      <c r="AS118" s="249"/>
      <c r="AT118" s="249">
        <v>3</v>
      </c>
      <c r="AU118" s="249">
        <f t="shared" si="7"/>
        <v>3</v>
      </c>
      <c r="AV118" s="269">
        <f t="shared" si="8"/>
        <v>3</v>
      </c>
      <c r="AW118" s="269">
        <f t="shared" si="9"/>
        <v>0</v>
      </c>
    </row>
    <row r="119" spans="2:49" s="140" customFormat="1" ht="22.5" x14ac:dyDescent="0.25">
      <c r="B119" s="227">
        <v>103</v>
      </c>
      <c r="C119" s="227" t="s">
        <v>39</v>
      </c>
      <c r="D119" s="28">
        <v>40025097</v>
      </c>
      <c r="E119" s="247" t="s">
        <v>1384</v>
      </c>
      <c r="F119" s="247" t="s">
        <v>1256</v>
      </c>
      <c r="G119" s="229" t="s">
        <v>1237</v>
      </c>
      <c r="H119" s="247" t="s">
        <v>1249</v>
      </c>
      <c r="I119" s="247" t="s">
        <v>72</v>
      </c>
      <c r="J119" s="248">
        <v>23093</v>
      </c>
      <c r="K119" s="248"/>
      <c r="L119" s="248">
        <f t="shared" si="5"/>
        <v>23093</v>
      </c>
      <c r="M119" s="249"/>
      <c r="N119" s="249"/>
      <c r="O119" s="249"/>
      <c r="P119" s="249"/>
      <c r="Q119" s="249"/>
      <c r="R119" s="249"/>
      <c r="S119" s="249"/>
      <c r="T119" s="249"/>
      <c r="U119" s="249"/>
      <c r="V119" s="249"/>
      <c r="W119" s="249"/>
      <c r="X119" s="249"/>
      <c r="Y119" s="249">
        <f t="shared" si="6"/>
        <v>0</v>
      </c>
      <c r="Z119" s="249">
        <v>2</v>
      </c>
      <c r="AA119" s="249" t="s">
        <v>1376</v>
      </c>
      <c r="AB119" s="250">
        <v>44225</v>
      </c>
      <c r="AC119" s="251">
        <v>44244</v>
      </c>
      <c r="AD119" s="249"/>
      <c r="AE119" s="249"/>
      <c r="AF119" s="250"/>
      <c r="AG119" s="250"/>
      <c r="AH119" s="249"/>
      <c r="AI119" s="249"/>
      <c r="AJ119" s="250"/>
      <c r="AK119" s="249"/>
      <c r="AL119" s="249"/>
      <c r="AM119" s="249"/>
      <c r="AN119" s="249"/>
      <c r="AO119" s="249"/>
      <c r="AP119" s="249"/>
      <c r="AQ119" s="249"/>
      <c r="AR119" s="249"/>
      <c r="AS119" s="249"/>
      <c r="AT119" s="249">
        <v>2</v>
      </c>
      <c r="AU119" s="249">
        <f t="shared" si="7"/>
        <v>2</v>
      </c>
      <c r="AV119" s="269">
        <f t="shared" si="8"/>
        <v>2</v>
      </c>
      <c r="AW119" s="269">
        <f t="shared" si="9"/>
        <v>0</v>
      </c>
    </row>
    <row r="120" spans="2:49" s="140" customFormat="1" ht="22.5" x14ac:dyDescent="0.25">
      <c r="B120" s="227">
        <v>104</v>
      </c>
      <c r="C120" s="227" t="s">
        <v>39</v>
      </c>
      <c r="D120" s="28">
        <v>40019627</v>
      </c>
      <c r="E120" s="247" t="s">
        <v>1385</v>
      </c>
      <c r="F120" s="247" t="s">
        <v>54</v>
      </c>
      <c r="G120" s="229" t="s">
        <v>1237</v>
      </c>
      <c r="H120" s="247" t="s">
        <v>1249</v>
      </c>
      <c r="I120" s="247" t="s">
        <v>72</v>
      </c>
      <c r="J120" s="248">
        <v>82988</v>
      </c>
      <c r="K120" s="248"/>
      <c r="L120" s="248">
        <f t="shared" si="5"/>
        <v>82988</v>
      </c>
      <c r="M120" s="249"/>
      <c r="N120" s="249"/>
      <c r="O120" s="249"/>
      <c r="P120" s="249"/>
      <c r="Q120" s="249"/>
      <c r="R120" s="249"/>
      <c r="S120" s="249"/>
      <c r="T120" s="249"/>
      <c r="U120" s="249"/>
      <c r="V120" s="249"/>
      <c r="W120" s="249"/>
      <c r="X120" s="249"/>
      <c r="Y120" s="249">
        <f t="shared" si="6"/>
        <v>0</v>
      </c>
      <c r="Z120" s="249">
        <v>2</v>
      </c>
      <c r="AA120" s="249" t="s">
        <v>1376</v>
      </c>
      <c r="AB120" s="250">
        <v>44225</v>
      </c>
      <c r="AC120" s="251">
        <v>44244</v>
      </c>
      <c r="AD120" s="249"/>
      <c r="AE120" s="249"/>
      <c r="AF120" s="250"/>
      <c r="AG120" s="250"/>
      <c r="AH120" s="249"/>
      <c r="AI120" s="249"/>
      <c r="AJ120" s="250"/>
      <c r="AK120" s="249"/>
      <c r="AL120" s="249"/>
      <c r="AM120" s="249"/>
      <c r="AN120" s="249"/>
      <c r="AO120" s="249"/>
      <c r="AP120" s="249"/>
      <c r="AQ120" s="249"/>
      <c r="AR120" s="249"/>
      <c r="AS120" s="249"/>
      <c r="AT120" s="249">
        <v>2</v>
      </c>
      <c r="AU120" s="249">
        <f t="shared" si="7"/>
        <v>2</v>
      </c>
      <c r="AV120" s="269">
        <f t="shared" si="8"/>
        <v>2</v>
      </c>
      <c r="AW120" s="269">
        <f t="shared" si="9"/>
        <v>0</v>
      </c>
    </row>
    <row r="121" spans="2:49" s="140" customFormat="1" ht="22.5" x14ac:dyDescent="0.25">
      <c r="B121" s="227">
        <v>105</v>
      </c>
      <c r="C121" s="227" t="s">
        <v>39</v>
      </c>
      <c r="D121" s="28">
        <v>40009196</v>
      </c>
      <c r="E121" s="247" t="s">
        <v>1386</v>
      </c>
      <c r="F121" s="247" t="s">
        <v>1256</v>
      </c>
      <c r="G121" s="229" t="s">
        <v>1237</v>
      </c>
      <c r="H121" s="247" t="s">
        <v>1249</v>
      </c>
      <c r="I121" s="247" t="s">
        <v>72</v>
      </c>
      <c r="J121" s="248">
        <v>87737</v>
      </c>
      <c r="K121" s="248"/>
      <c r="L121" s="248">
        <f t="shared" si="5"/>
        <v>87737</v>
      </c>
      <c r="M121" s="249"/>
      <c r="N121" s="249"/>
      <c r="O121" s="249"/>
      <c r="P121" s="249"/>
      <c r="Q121" s="249"/>
      <c r="R121" s="249"/>
      <c r="S121" s="249"/>
      <c r="T121" s="249"/>
      <c r="U121" s="249"/>
      <c r="V121" s="249"/>
      <c r="W121" s="249"/>
      <c r="X121" s="249"/>
      <c r="Y121" s="249">
        <f t="shared" si="6"/>
        <v>0</v>
      </c>
      <c r="Z121" s="249">
        <v>2</v>
      </c>
      <c r="AA121" s="249" t="s">
        <v>1376</v>
      </c>
      <c r="AB121" s="250">
        <v>44225</v>
      </c>
      <c r="AC121" s="251">
        <v>44244</v>
      </c>
      <c r="AD121" s="249"/>
      <c r="AE121" s="249"/>
      <c r="AF121" s="250"/>
      <c r="AG121" s="250"/>
      <c r="AH121" s="249"/>
      <c r="AI121" s="249"/>
      <c r="AJ121" s="250"/>
      <c r="AK121" s="249"/>
      <c r="AL121" s="249"/>
      <c r="AM121" s="249"/>
      <c r="AN121" s="249"/>
      <c r="AO121" s="249"/>
      <c r="AP121" s="249"/>
      <c r="AQ121" s="249"/>
      <c r="AR121" s="249"/>
      <c r="AS121" s="249"/>
      <c r="AT121" s="249">
        <v>2</v>
      </c>
      <c r="AU121" s="249">
        <f t="shared" si="7"/>
        <v>2</v>
      </c>
      <c r="AV121" s="269">
        <f t="shared" si="8"/>
        <v>2</v>
      </c>
      <c r="AW121" s="269">
        <f t="shared" si="9"/>
        <v>0</v>
      </c>
    </row>
    <row r="122" spans="2:49" s="140" customFormat="1" ht="22.5" x14ac:dyDescent="0.25">
      <c r="B122" s="227">
        <v>106</v>
      </c>
      <c r="C122" s="227" t="s">
        <v>39</v>
      </c>
      <c r="D122" s="28">
        <v>30480150</v>
      </c>
      <c r="E122" s="247" t="s">
        <v>1387</v>
      </c>
      <c r="F122" s="247" t="s">
        <v>54</v>
      </c>
      <c r="G122" s="229" t="s">
        <v>1237</v>
      </c>
      <c r="H122" s="247" t="s">
        <v>1249</v>
      </c>
      <c r="I122" s="247" t="s">
        <v>72</v>
      </c>
      <c r="J122" s="248">
        <v>872827</v>
      </c>
      <c r="K122" s="248"/>
      <c r="L122" s="248">
        <f t="shared" si="5"/>
        <v>872827</v>
      </c>
      <c r="M122" s="249"/>
      <c r="N122" s="249"/>
      <c r="O122" s="249"/>
      <c r="P122" s="249"/>
      <c r="Q122" s="249"/>
      <c r="R122" s="249"/>
      <c r="S122" s="249"/>
      <c r="T122" s="249"/>
      <c r="U122" s="249"/>
      <c r="V122" s="249"/>
      <c r="W122" s="249"/>
      <c r="X122" s="249"/>
      <c r="Y122" s="249">
        <f t="shared" si="6"/>
        <v>0</v>
      </c>
      <c r="Z122" s="249">
        <v>4</v>
      </c>
      <c r="AA122" s="249" t="s">
        <v>1376</v>
      </c>
      <c r="AB122" s="250">
        <v>44225</v>
      </c>
      <c r="AC122" s="251">
        <v>44244</v>
      </c>
      <c r="AD122" s="249"/>
      <c r="AE122" s="249"/>
      <c r="AF122" s="250"/>
      <c r="AG122" s="250"/>
      <c r="AH122" s="249"/>
      <c r="AI122" s="249"/>
      <c r="AJ122" s="250"/>
      <c r="AK122" s="249"/>
      <c r="AL122" s="249"/>
      <c r="AM122" s="249"/>
      <c r="AN122" s="249"/>
      <c r="AO122" s="249"/>
      <c r="AP122" s="249"/>
      <c r="AQ122" s="249"/>
      <c r="AR122" s="249"/>
      <c r="AS122" s="249"/>
      <c r="AT122" s="249">
        <v>4</v>
      </c>
      <c r="AU122" s="249">
        <f t="shared" si="7"/>
        <v>4</v>
      </c>
      <c r="AV122" s="269">
        <f t="shared" si="8"/>
        <v>4</v>
      </c>
      <c r="AW122" s="269">
        <f t="shared" si="9"/>
        <v>0</v>
      </c>
    </row>
    <row r="123" spans="2:49" s="140" customFormat="1" ht="22.5" x14ac:dyDescent="0.25">
      <c r="B123" s="227">
        <v>107</v>
      </c>
      <c r="C123" s="227" t="s">
        <v>42</v>
      </c>
      <c r="D123" s="28">
        <v>40015277</v>
      </c>
      <c r="E123" s="247" t="s">
        <v>1388</v>
      </c>
      <c r="F123" s="247" t="s">
        <v>54</v>
      </c>
      <c r="G123" s="229" t="s">
        <v>1237</v>
      </c>
      <c r="H123" s="247" t="s">
        <v>1389</v>
      </c>
      <c r="I123" s="247" t="s">
        <v>72</v>
      </c>
      <c r="J123" s="248">
        <v>58993</v>
      </c>
      <c r="K123" s="248"/>
      <c r="L123" s="248">
        <f t="shared" si="5"/>
        <v>58993</v>
      </c>
      <c r="M123" s="249"/>
      <c r="N123" s="249"/>
      <c r="O123" s="249"/>
      <c r="P123" s="249"/>
      <c r="Q123" s="249"/>
      <c r="R123" s="249"/>
      <c r="S123" s="249"/>
      <c r="T123" s="249"/>
      <c r="U123" s="249"/>
      <c r="V123" s="249"/>
      <c r="W123" s="249"/>
      <c r="X123" s="249"/>
      <c r="Y123" s="249">
        <f t="shared" si="6"/>
        <v>0</v>
      </c>
      <c r="Z123" s="249">
        <v>2</v>
      </c>
      <c r="AA123" s="249" t="s">
        <v>1376</v>
      </c>
      <c r="AB123" s="250">
        <v>44225</v>
      </c>
      <c r="AC123" s="251">
        <v>44244</v>
      </c>
      <c r="AD123" s="249"/>
      <c r="AE123" s="249"/>
      <c r="AF123" s="250"/>
      <c r="AG123" s="250"/>
      <c r="AH123" s="249"/>
      <c r="AI123" s="249"/>
      <c r="AJ123" s="250"/>
      <c r="AK123" s="249"/>
      <c r="AL123" s="249"/>
      <c r="AM123" s="249"/>
      <c r="AN123" s="249"/>
      <c r="AO123" s="249"/>
      <c r="AP123" s="249"/>
      <c r="AQ123" s="249"/>
      <c r="AR123" s="249"/>
      <c r="AS123" s="249"/>
      <c r="AT123" s="249">
        <v>2</v>
      </c>
      <c r="AU123" s="249">
        <f t="shared" si="7"/>
        <v>2</v>
      </c>
      <c r="AV123" s="269">
        <f t="shared" si="8"/>
        <v>2</v>
      </c>
      <c r="AW123" s="269">
        <f t="shared" si="9"/>
        <v>0</v>
      </c>
    </row>
    <row r="124" spans="2:49" s="140" customFormat="1" x14ac:dyDescent="0.25">
      <c r="B124" s="227">
        <v>108</v>
      </c>
      <c r="C124" s="227" t="s">
        <v>42</v>
      </c>
      <c r="D124" s="28">
        <v>40015269</v>
      </c>
      <c r="E124" s="247" t="s">
        <v>1390</v>
      </c>
      <c r="F124" s="247" t="s">
        <v>54</v>
      </c>
      <c r="G124" s="229" t="s">
        <v>1237</v>
      </c>
      <c r="H124" s="247" t="s">
        <v>1389</v>
      </c>
      <c r="I124" s="247" t="s">
        <v>72</v>
      </c>
      <c r="J124" s="248">
        <v>47014</v>
      </c>
      <c r="K124" s="248"/>
      <c r="L124" s="248">
        <f t="shared" si="5"/>
        <v>47014</v>
      </c>
      <c r="M124" s="249"/>
      <c r="N124" s="249"/>
      <c r="O124" s="249"/>
      <c r="P124" s="249"/>
      <c r="Q124" s="249"/>
      <c r="R124" s="249"/>
      <c r="S124" s="249"/>
      <c r="T124" s="249"/>
      <c r="U124" s="249"/>
      <c r="V124" s="249"/>
      <c r="W124" s="249"/>
      <c r="X124" s="249"/>
      <c r="Y124" s="249">
        <f t="shared" si="6"/>
        <v>0</v>
      </c>
      <c r="Z124" s="249">
        <v>2</v>
      </c>
      <c r="AA124" s="249" t="s">
        <v>1376</v>
      </c>
      <c r="AB124" s="250">
        <v>44225</v>
      </c>
      <c r="AC124" s="251">
        <v>44244</v>
      </c>
      <c r="AD124" s="249"/>
      <c r="AE124" s="249"/>
      <c r="AF124" s="250"/>
      <c r="AG124" s="250"/>
      <c r="AH124" s="249"/>
      <c r="AI124" s="249"/>
      <c r="AJ124" s="250"/>
      <c r="AK124" s="249"/>
      <c r="AL124" s="249"/>
      <c r="AM124" s="249"/>
      <c r="AN124" s="249"/>
      <c r="AO124" s="249"/>
      <c r="AP124" s="249"/>
      <c r="AQ124" s="249"/>
      <c r="AR124" s="249"/>
      <c r="AS124" s="249"/>
      <c r="AT124" s="249">
        <v>2</v>
      </c>
      <c r="AU124" s="249">
        <f t="shared" si="7"/>
        <v>2</v>
      </c>
      <c r="AV124" s="269">
        <f t="shared" si="8"/>
        <v>2</v>
      </c>
      <c r="AW124" s="269">
        <f t="shared" si="9"/>
        <v>0</v>
      </c>
    </row>
    <row r="125" spans="2:49" s="140" customFormat="1" x14ac:dyDescent="0.25">
      <c r="B125" s="227">
        <v>109</v>
      </c>
      <c r="C125" s="227" t="s">
        <v>39</v>
      </c>
      <c r="D125" s="28">
        <v>40001686</v>
      </c>
      <c r="E125" s="247" t="s">
        <v>1391</v>
      </c>
      <c r="F125" s="247" t="s">
        <v>1256</v>
      </c>
      <c r="G125" s="229" t="s">
        <v>1237</v>
      </c>
      <c r="H125" s="247" t="s">
        <v>1274</v>
      </c>
      <c r="I125" s="247" t="s">
        <v>72</v>
      </c>
      <c r="J125" s="248">
        <v>47208</v>
      </c>
      <c r="K125" s="248"/>
      <c r="L125" s="248">
        <f t="shared" si="5"/>
        <v>47208</v>
      </c>
      <c r="M125" s="249"/>
      <c r="N125" s="249"/>
      <c r="O125" s="249"/>
      <c r="P125" s="249"/>
      <c r="Q125" s="249"/>
      <c r="R125" s="249"/>
      <c r="S125" s="249"/>
      <c r="T125" s="249"/>
      <c r="U125" s="249"/>
      <c r="V125" s="249"/>
      <c r="W125" s="249"/>
      <c r="X125" s="249"/>
      <c r="Y125" s="249">
        <f t="shared" si="6"/>
        <v>0</v>
      </c>
      <c r="Z125" s="249">
        <v>1</v>
      </c>
      <c r="AA125" s="249" t="s">
        <v>1376</v>
      </c>
      <c r="AB125" s="250">
        <v>44225</v>
      </c>
      <c r="AC125" s="251">
        <v>44244</v>
      </c>
      <c r="AD125" s="249"/>
      <c r="AE125" s="249"/>
      <c r="AF125" s="250"/>
      <c r="AG125" s="250"/>
      <c r="AH125" s="249"/>
      <c r="AI125" s="249"/>
      <c r="AJ125" s="250"/>
      <c r="AK125" s="249"/>
      <c r="AL125" s="249"/>
      <c r="AM125" s="249"/>
      <c r="AN125" s="249"/>
      <c r="AO125" s="249"/>
      <c r="AP125" s="249"/>
      <c r="AQ125" s="249"/>
      <c r="AR125" s="249"/>
      <c r="AS125" s="249"/>
      <c r="AT125" s="249">
        <v>1</v>
      </c>
      <c r="AU125" s="249">
        <f t="shared" si="7"/>
        <v>1</v>
      </c>
      <c r="AV125" s="269">
        <f t="shared" si="8"/>
        <v>1</v>
      </c>
      <c r="AW125" s="269">
        <f t="shared" si="9"/>
        <v>0</v>
      </c>
    </row>
    <row r="126" spans="2:49" s="140" customFormat="1" ht="22.5" x14ac:dyDescent="0.25">
      <c r="B126" s="227">
        <v>110</v>
      </c>
      <c r="C126" s="227" t="s">
        <v>39</v>
      </c>
      <c r="D126" s="28">
        <v>40008485</v>
      </c>
      <c r="E126" s="247" t="s">
        <v>1392</v>
      </c>
      <c r="F126" s="247" t="s">
        <v>54</v>
      </c>
      <c r="G126" s="229" t="s">
        <v>1237</v>
      </c>
      <c r="H126" s="247" t="s">
        <v>1341</v>
      </c>
      <c r="I126" s="247" t="s">
        <v>72</v>
      </c>
      <c r="J126" s="248">
        <v>367563</v>
      </c>
      <c r="K126" s="248"/>
      <c r="L126" s="248">
        <f t="shared" si="5"/>
        <v>367563</v>
      </c>
      <c r="M126" s="249"/>
      <c r="N126" s="249"/>
      <c r="O126" s="249"/>
      <c r="P126" s="249"/>
      <c r="Q126" s="249"/>
      <c r="R126" s="249"/>
      <c r="S126" s="249"/>
      <c r="T126" s="249"/>
      <c r="U126" s="249"/>
      <c r="V126" s="249"/>
      <c r="W126" s="249"/>
      <c r="X126" s="249"/>
      <c r="Y126" s="249">
        <f t="shared" si="6"/>
        <v>0</v>
      </c>
      <c r="Z126" s="249">
        <v>3</v>
      </c>
      <c r="AA126" s="249" t="s">
        <v>1376</v>
      </c>
      <c r="AB126" s="250">
        <v>44225</v>
      </c>
      <c r="AC126" s="251">
        <v>44244</v>
      </c>
      <c r="AD126" s="249"/>
      <c r="AE126" s="249"/>
      <c r="AF126" s="250"/>
      <c r="AG126" s="250"/>
      <c r="AH126" s="249"/>
      <c r="AI126" s="249"/>
      <c r="AJ126" s="250"/>
      <c r="AK126" s="249"/>
      <c r="AL126" s="249"/>
      <c r="AM126" s="249"/>
      <c r="AN126" s="249"/>
      <c r="AO126" s="249"/>
      <c r="AP126" s="249"/>
      <c r="AQ126" s="249"/>
      <c r="AR126" s="249"/>
      <c r="AS126" s="249"/>
      <c r="AT126" s="249">
        <v>3</v>
      </c>
      <c r="AU126" s="249">
        <f t="shared" si="7"/>
        <v>3</v>
      </c>
      <c r="AV126" s="269">
        <f t="shared" si="8"/>
        <v>3</v>
      </c>
      <c r="AW126" s="269">
        <f t="shared" si="9"/>
        <v>0</v>
      </c>
    </row>
    <row r="127" spans="2:49" s="140" customFormat="1" ht="22.5" x14ac:dyDescent="0.25">
      <c r="B127" s="227">
        <v>111</v>
      </c>
      <c r="C127" s="227" t="s">
        <v>39</v>
      </c>
      <c r="D127" s="28">
        <v>40014202</v>
      </c>
      <c r="E127" s="247" t="s">
        <v>1393</v>
      </c>
      <c r="F127" s="247" t="s">
        <v>54</v>
      </c>
      <c r="G127" s="229" t="s">
        <v>1237</v>
      </c>
      <c r="H127" s="247" t="s">
        <v>1394</v>
      </c>
      <c r="I127" s="247" t="s">
        <v>72</v>
      </c>
      <c r="J127" s="248">
        <v>619095</v>
      </c>
      <c r="K127" s="248"/>
      <c r="L127" s="248">
        <f t="shared" si="5"/>
        <v>619095</v>
      </c>
      <c r="M127" s="249"/>
      <c r="N127" s="249"/>
      <c r="O127" s="249"/>
      <c r="P127" s="249"/>
      <c r="Q127" s="249"/>
      <c r="R127" s="249"/>
      <c r="S127" s="249"/>
      <c r="T127" s="249"/>
      <c r="U127" s="249"/>
      <c r="V127" s="249"/>
      <c r="W127" s="249"/>
      <c r="X127" s="249"/>
      <c r="Y127" s="249">
        <f t="shared" si="6"/>
        <v>0</v>
      </c>
      <c r="Z127" s="249">
        <v>3</v>
      </c>
      <c r="AA127" s="249" t="s">
        <v>1376</v>
      </c>
      <c r="AB127" s="250">
        <v>44225</v>
      </c>
      <c r="AC127" s="251">
        <v>44244</v>
      </c>
      <c r="AD127" s="249"/>
      <c r="AE127" s="249"/>
      <c r="AF127" s="250"/>
      <c r="AG127" s="250"/>
      <c r="AH127" s="249"/>
      <c r="AI127" s="249"/>
      <c r="AJ127" s="250"/>
      <c r="AK127" s="249"/>
      <c r="AL127" s="249"/>
      <c r="AM127" s="249"/>
      <c r="AN127" s="249"/>
      <c r="AO127" s="249"/>
      <c r="AP127" s="249"/>
      <c r="AQ127" s="249"/>
      <c r="AR127" s="249"/>
      <c r="AS127" s="249"/>
      <c r="AT127" s="249">
        <v>3</v>
      </c>
      <c r="AU127" s="249">
        <f t="shared" si="7"/>
        <v>3</v>
      </c>
      <c r="AV127" s="269">
        <f t="shared" si="8"/>
        <v>3</v>
      </c>
      <c r="AW127" s="269">
        <f t="shared" si="9"/>
        <v>0</v>
      </c>
    </row>
    <row r="128" spans="2:49" s="140" customFormat="1" ht="22.5" x14ac:dyDescent="0.25">
      <c r="B128" s="227">
        <v>112</v>
      </c>
      <c r="C128" s="227" t="s">
        <v>39</v>
      </c>
      <c r="D128" s="28">
        <v>40016795</v>
      </c>
      <c r="E128" s="247" t="s">
        <v>1395</v>
      </c>
      <c r="F128" s="247" t="s">
        <v>54</v>
      </c>
      <c r="G128" s="229" t="s">
        <v>1237</v>
      </c>
      <c r="H128" s="247" t="s">
        <v>1396</v>
      </c>
      <c r="I128" s="247" t="s">
        <v>72</v>
      </c>
      <c r="J128" s="248">
        <v>267608</v>
      </c>
      <c r="K128" s="248"/>
      <c r="L128" s="248">
        <f t="shared" si="5"/>
        <v>267608</v>
      </c>
      <c r="M128" s="249"/>
      <c r="N128" s="249"/>
      <c r="O128" s="249"/>
      <c r="P128" s="249"/>
      <c r="Q128" s="249"/>
      <c r="R128" s="249"/>
      <c r="S128" s="249"/>
      <c r="T128" s="249"/>
      <c r="U128" s="249"/>
      <c r="V128" s="249"/>
      <c r="W128" s="249"/>
      <c r="X128" s="249"/>
      <c r="Y128" s="249">
        <f t="shared" si="6"/>
        <v>0</v>
      </c>
      <c r="Z128" s="249">
        <v>3</v>
      </c>
      <c r="AA128" s="249" t="s">
        <v>1376</v>
      </c>
      <c r="AB128" s="250">
        <v>44225</v>
      </c>
      <c r="AC128" s="251">
        <v>44244</v>
      </c>
      <c r="AD128" s="249"/>
      <c r="AE128" s="249"/>
      <c r="AF128" s="250"/>
      <c r="AG128" s="250"/>
      <c r="AH128" s="249"/>
      <c r="AI128" s="249"/>
      <c r="AJ128" s="250"/>
      <c r="AK128" s="249"/>
      <c r="AL128" s="249"/>
      <c r="AM128" s="249"/>
      <c r="AN128" s="249"/>
      <c r="AO128" s="249"/>
      <c r="AP128" s="249"/>
      <c r="AQ128" s="249"/>
      <c r="AR128" s="249"/>
      <c r="AS128" s="249"/>
      <c r="AT128" s="249">
        <v>3</v>
      </c>
      <c r="AU128" s="249">
        <f t="shared" si="7"/>
        <v>3</v>
      </c>
      <c r="AV128" s="269">
        <f t="shared" si="8"/>
        <v>3</v>
      </c>
      <c r="AW128" s="269">
        <f t="shared" si="9"/>
        <v>0</v>
      </c>
    </row>
    <row r="129" spans="2:49" s="140" customFormat="1" ht="22.5" x14ac:dyDescent="0.25">
      <c r="B129" s="227">
        <v>113</v>
      </c>
      <c r="C129" s="227" t="s">
        <v>39</v>
      </c>
      <c r="D129" s="28">
        <v>40026474</v>
      </c>
      <c r="E129" s="247" t="s">
        <v>1397</v>
      </c>
      <c r="F129" s="247" t="s">
        <v>54</v>
      </c>
      <c r="G129" s="229" t="s">
        <v>1237</v>
      </c>
      <c r="H129" s="247" t="s">
        <v>1237</v>
      </c>
      <c r="I129" s="247" t="s">
        <v>72</v>
      </c>
      <c r="J129" s="248">
        <v>99999</v>
      </c>
      <c r="K129" s="248"/>
      <c r="L129" s="248">
        <f t="shared" si="5"/>
        <v>99999</v>
      </c>
      <c r="M129" s="249"/>
      <c r="N129" s="249"/>
      <c r="O129" s="249"/>
      <c r="P129" s="249"/>
      <c r="Q129" s="249"/>
      <c r="R129" s="249"/>
      <c r="S129" s="249"/>
      <c r="T129" s="249"/>
      <c r="U129" s="249"/>
      <c r="V129" s="249"/>
      <c r="W129" s="249"/>
      <c r="X129" s="249"/>
      <c r="Y129" s="249">
        <f t="shared" si="6"/>
        <v>0</v>
      </c>
      <c r="Z129" s="249">
        <v>1</v>
      </c>
      <c r="AA129" s="249" t="s">
        <v>1376</v>
      </c>
      <c r="AB129" s="250">
        <v>44225</v>
      </c>
      <c r="AC129" s="251">
        <v>44244</v>
      </c>
      <c r="AD129" s="249"/>
      <c r="AE129" s="249"/>
      <c r="AF129" s="250"/>
      <c r="AG129" s="250"/>
      <c r="AH129" s="249"/>
      <c r="AI129" s="249"/>
      <c r="AJ129" s="250"/>
      <c r="AK129" s="249"/>
      <c r="AL129" s="249"/>
      <c r="AM129" s="249"/>
      <c r="AN129" s="249"/>
      <c r="AO129" s="249"/>
      <c r="AP129" s="249"/>
      <c r="AQ129" s="249"/>
      <c r="AR129" s="249"/>
      <c r="AS129" s="249"/>
      <c r="AT129" s="249">
        <v>1</v>
      </c>
      <c r="AU129" s="249">
        <f t="shared" si="7"/>
        <v>1</v>
      </c>
      <c r="AV129" s="269">
        <f t="shared" si="8"/>
        <v>1</v>
      </c>
      <c r="AW129" s="269">
        <f t="shared" si="9"/>
        <v>0</v>
      </c>
    </row>
    <row r="130" spans="2:49" s="140" customFormat="1" ht="22.5" x14ac:dyDescent="0.25">
      <c r="B130" s="227">
        <v>114</v>
      </c>
      <c r="C130" s="227" t="s">
        <v>39</v>
      </c>
      <c r="D130" s="28">
        <v>40026019</v>
      </c>
      <c r="E130" s="247" t="s">
        <v>1398</v>
      </c>
      <c r="F130" s="247" t="s">
        <v>54</v>
      </c>
      <c r="G130" s="229" t="s">
        <v>1237</v>
      </c>
      <c r="H130" s="247" t="s">
        <v>1237</v>
      </c>
      <c r="I130" s="247" t="s">
        <v>72</v>
      </c>
      <c r="J130" s="248">
        <v>246272</v>
      </c>
      <c r="K130" s="248"/>
      <c r="L130" s="248">
        <f t="shared" si="5"/>
        <v>246272</v>
      </c>
      <c r="M130" s="249"/>
      <c r="N130" s="249"/>
      <c r="O130" s="249"/>
      <c r="P130" s="249"/>
      <c r="Q130" s="249"/>
      <c r="R130" s="249"/>
      <c r="S130" s="249"/>
      <c r="T130" s="249"/>
      <c r="U130" s="249"/>
      <c r="V130" s="249"/>
      <c r="W130" s="249"/>
      <c r="X130" s="249"/>
      <c r="Y130" s="249">
        <f t="shared" si="6"/>
        <v>0</v>
      </c>
      <c r="Z130" s="249">
        <v>1</v>
      </c>
      <c r="AA130" s="249" t="s">
        <v>1376</v>
      </c>
      <c r="AB130" s="250">
        <v>44225</v>
      </c>
      <c r="AC130" s="251">
        <v>44244</v>
      </c>
      <c r="AD130" s="249"/>
      <c r="AE130" s="249"/>
      <c r="AF130" s="250"/>
      <c r="AG130" s="250"/>
      <c r="AH130" s="249"/>
      <c r="AI130" s="249"/>
      <c r="AJ130" s="250"/>
      <c r="AK130" s="249"/>
      <c r="AL130" s="249"/>
      <c r="AM130" s="249"/>
      <c r="AN130" s="249"/>
      <c r="AO130" s="249"/>
      <c r="AP130" s="249"/>
      <c r="AQ130" s="249"/>
      <c r="AR130" s="249"/>
      <c r="AS130" s="249"/>
      <c r="AT130" s="249">
        <v>1</v>
      </c>
      <c r="AU130" s="249">
        <f t="shared" si="7"/>
        <v>1</v>
      </c>
      <c r="AV130" s="269">
        <f t="shared" si="8"/>
        <v>1</v>
      </c>
      <c r="AW130" s="269">
        <f t="shared" si="9"/>
        <v>0</v>
      </c>
    </row>
    <row r="131" spans="2:49" s="140" customFormat="1" ht="22.5" x14ac:dyDescent="0.25">
      <c r="B131" s="227">
        <v>115</v>
      </c>
      <c r="C131" s="227" t="s">
        <v>39</v>
      </c>
      <c r="D131" s="28">
        <v>40020848</v>
      </c>
      <c r="E131" s="247" t="s">
        <v>1399</v>
      </c>
      <c r="F131" s="247" t="s">
        <v>54</v>
      </c>
      <c r="G131" s="229" t="s">
        <v>1237</v>
      </c>
      <c r="H131" s="247" t="s">
        <v>1237</v>
      </c>
      <c r="I131" s="247" t="s">
        <v>72</v>
      </c>
      <c r="J131" s="248">
        <v>499224</v>
      </c>
      <c r="K131" s="248"/>
      <c r="L131" s="248">
        <f t="shared" si="5"/>
        <v>499224</v>
      </c>
      <c r="M131" s="249"/>
      <c r="N131" s="249"/>
      <c r="O131" s="249"/>
      <c r="P131" s="249"/>
      <c r="Q131" s="249"/>
      <c r="R131" s="249"/>
      <c r="S131" s="249"/>
      <c r="T131" s="249"/>
      <c r="U131" s="249"/>
      <c r="V131" s="249"/>
      <c r="W131" s="249"/>
      <c r="X131" s="249"/>
      <c r="Y131" s="249">
        <f t="shared" si="6"/>
        <v>0</v>
      </c>
      <c r="Z131" s="249">
        <v>2</v>
      </c>
      <c r="AA131" s="249" t="s">
        <v>1376</v>
      </c>
      <c r="AB131" s="250">
        <v>44225</v>
      </c>
      <c r="AC131" s="251">
        <v>44244</v>
      </c>
      <c r="AD131" s="249"/>
      <c r="AE131" s="249"/>
      <c r="AF131" s="250"/>
      <c r="AG131" s="250"/>
      <c r="AH131" s="249"/>
      <c r="AI131" s="249"/>
      <c r="AJ131" s="250"/>
      <c r="AK131" s="249"/>
      <c r="AL131" s="249"/>
      <c r="AM131" s="249"/>
      <c r="AN131" s="249"/>
      <c r="AO131" s="249"/>
      <c r="AP131" s="249"/>
      <c r="AQ131" s="249"/>
      <c r="AR131" s="249"/>
      <c r="AS131" s="249"/>
      <c r="AT131" s="249">
        <v>2</v>
      </c>
      <c r="AU131" s="249">
        <f t="shared" si="7"/>
        <v>2</v>
      </c>
      <c r="AV131" s="269">
        <f t="shared" si="8"/>
        <v>2</v>
      </c>
      <c r="AW131" s="269">
        <f t="shared" si="9"/>
        <v>0</v>
      </c>
    </row>
    <row r="132" spans="2:49" s="140" customFormat="1" ht="22.5" x14ac:dyDescent="0.25">
      <c r="B132" s="227">
        <v>116</v>
      </c>
      <c r="C132" s="227" t="s">
        <v>39</v>
      </c>
      <c r="D132" s="28">
        <v>40009258</v>
      </c>
      <c r="E132" s="247" t="s">
        <v>1400</v>
      </c>
      <c r="F132" s="247" t="s">
        <v>54</v>
      </c>
      <c r="G132" s="229" t="s">
        <v>1237</v>
      </c>
      <c r="H132" s="247" t="s">
        <v>1237</v>
      </c>
      <c r="I132" s="247" t="s">
        <v>72</v>
      </c>
      <c r="J132" s="248">
        <v>168170</v>
      </c>
      <c r="K132" s="248"/>
      <c r="L132" s="248">
        <f t="shared" si="5"/>
        <v>168170</v>
      </c>
      <c r="M132" s="249"/>
      <c r="N132" s="249"/>
      <c r="O132" s="249"/>
      <c r="P132" s="249"/>
      <c r="Q132" s="249"/>
      <c r="R132" s="249"/>
      <c r="S132" s="249"/>
      <c r="T132" s="249"/>
      <c r="U132" s="249"/>
      <c r="V132" s="249"/>
      <c r="W132" s="249"/>
      <c r="X132" s="249"/>
      <c r="Y132" s="249">
        <f t="shared" si="6"/>
        <v>0</v>
      </c>
      <c r="Z132" s="249">
        <v>2</v>
      </c>
      <c r="AA132" s="249" t="s">
        <v>1376</v>
      </c>
      <c r="AB132" s="250">
        <v>44225</v>
      </c>
      <c r="AC132" s="251">
        <v>44244</v>
      </c>
      <c r="AD132" s="249"/>
      <c r="AE132" s="249"/>
      <c r="AF132" s="250"/>
      <c r="AG132" s="250"/>
      <c r="AH132" s="249"/>
      <c r="AI132" s="249"/>
      <c r="AJ132" s="250"/>
      <c r="AK132" s="249"/>
      <c r="AL132" s="249"/>
      <c r="AM132" s="249"/>
      <c r="AN132" s="249"/>
      <c r="AO132" s="249"/>
      <c r="AP132" s="249"/>
      <c r="AQ132" s="249"/>
      <c r="AR132" s="249"/>
      <c r="AS132" s="249"/>
      <c r="AT132" s="249">
        <v>2</v>
      </c>
      <c r="AU132" s="249">
        <f t="shared" si="7"/>
        <v>2</v>
      </c>
      <c r="AV132" s="269">
        <f t="shared" si="8"/>
        <v>2</v>
      </c>
      <c r="AW132" s="269">
        <f t="shared" si="9"/>
        <v>0</v>
      </c>
    </row>
    <row r="133" spans="2:49" s="140" customFormat="1" x14ac:dyDescent="0.25">
      <c r="B133" s="227">
        <v>117</v>
      </c>
      <c r="C133" s="227" t="s">
        <v>39</v>
      </c>
      <c r="D133" s="28">
        <v>40018853</v>
      </c>
      <c r="E133" s="247" t="s">
        <v>1401</v>
      </c>
      <c r="F133" s="247" t="s">
        <v>1256</v>
      </c>
      <c r="G133" s="229" t="s">
        <v>1237</v>
      </c>
      <c r="H133" s="247" t="s">
        <v>1237</v>
      </c>
      <c r="I133" s="247" t="s">
        <v>72</v>
      </c>
      <c r="J133" s="248">
        <v>1034474</v>
      </c>
      <c r="K133" s="248"/>
      <c r="L133" s="248">
        <f t="shared" si="5"/>
        <v>1034474</v>
      </c>
      <c r="M133" s="249"/>
      <c r="N133" s="249"/>
      <c r="O133" s="249"/>
      <c r="P133" s="249"/>
      <c r="Q133" s="249"/>
      <c r="R133" s="249"/>
      <c r="S133" s="249"/>
      <c r="T133" s="249"/>
      <c r="U133" s="249"/>
      <c r="V133" s="249"/>
      <c r="W133" s="249"/>
      <c r="X133" s="249"/>
      <c r="Y133" s="249">
        <f t="shared" si="6"/>
        <v>0</v>
      </c>
      <c r="Z133" s="249">
        <v>3</v>
      </c>
      <c r="AA133" s="249" t="s">
        <v>1376</v>
      </c>
      <c r="AB133" s="250">
        <v>44225</v>
      </c>
      <c r="AC133" s="251">
        <v>44244</v>
      </c>
      <c r="AD133" s="249"/>
      <c r="AE133" s="249"/>
      <c r="AF133" s="250"/>
      <c r="AG133" s="250"/>
      <c r="AH133" s="249"/>
      <c r="AI133" s="249"/>
      <c r="AJ133" s="250"/>
      <c r="AK133" s="249"/>
      <c r="AL133" s="249"/>
      <c r="AM133" s="249"/>
      <c r="AN133" s="249"/>
      <c r="AO133" s="249"/>
      <c r="AP133" s="249"/>
      <c r="AQ133" s="249"/>
      <c r="AR133" s="249"/>
      <c r="AS133" s="249"/>
      <c r="AT133" s="249">
        <v>3</v>
      </c>
      <c r="AU133" s="249">
        <f t="shared" si="7"/>
        <v>3</v>
      </c>
      <c r="AV133" s="269">
        <f t="shared" si="8"/>
        <v>3</v>
      </c>
      <c r="AW133" s="269">
        <f t="shared" si="9"/>
        <v>0</v>
      </c>
    </row>
    <row r="134" spans="2:49" s="140" customFormat="1" ht="22.5" x14ac:dyDescent="0.25">
      <c r="B134" s="227">
        <v>118</v>
      </c>
      <c r="C134" s="227" t="s">
        <v>42</v>
      </c>
      <c r="D134" s="28">
        <v>40006811</v>
      </c>
      <c r="E134" s="247" t="s">
        <v>1402</v>
      </c>
      <c r="F134" s="247" t="s">
        <v>54</v>
      </c>
      <c r="G134" s="229" t="s">
        <v>1237</v>
      </c>
      <c r="H134" s="247" t="s">
        <v>1242</v>
      </c>
      <c r="I134" s="247" t="s">
        <v>72</v>
      </c>
      <c r="J134" s="248">
        <v>104135</v>
      </c>
      <c r="K134" s="248"/>
      <c r="L134" s="248">
        <f t="shared" si="5"/>
        <v>104135</v>
      </c>
      <c r="M134" s="249"/>
      <c r="N134" s="249"/>
      <c r="O134" s="249"/>
      <c r="P134" s="249"/>
      <c r="Q134" s="249"/>
      <c r="R134" s="249"/>
      <c r="S134" s="249"/>
      <c r="T134" s="249"/>
      <c r="U134" s="249"/>
      <c r="V134" s="249"/>
      <c r="W134" s="249"/>
      <c r="X134" s="249"/>
      <c r="Y134" s="249">
        <f t="shared" si="6"/>
        <v>0</v>
      </c>
      <c r="Z134" s="249">
        <v>1</v>
      </c>
      <c r="AA134" s="249" t="s">
        <v>1376</v>
      </c>
      <c r="AB134" s="250">
        <v>44225</v>
      </c>
      <c r="AC134" s="251">
        <v>44244</v>
      </c>
      <c r="AD134" s="249"/>
      <c r="AE134" s="249"/>
      <c r="AF134" s="250"/>
      <c r="AG134" s="250"/>
      <c r="AH134" s="249"/>
      <c r="AI134" s="249"/>
      <c r="AJ134" s="250"/>
      <c r="AK134" s="249"/>
      <c r="AL134" s="249"/>
      <c r="AM134" s="249"/>
      <c r="AN134" s="249"/>
      <c r="AO134" s="249"/>
      <c r="AP134" s="249"/>
      <c r="AQ134" s="249"/>
      <c r="AR134" s="249"/>
      <c r="AS134" s="249"/>
      <c r="AT134" s="249">
        <v>1</v>
      </c>
      <c r="AU134" s="249">
        <f t="shared" si="7"/>
        <v>1</v>
      </c>
      <c r="AV134" s="269">
        <f t="shared" si="8"/>
        <v>1</v>
      </c>
      <c r="AW134" s="269">
        <f t="shared" si="9"/>
        <v>0</v>
      </c>
    </row>
    <row r="135" spans="2:49" s="140" customFormat="1" ht="22.5" x14ac:dyDescent="0.25">
      <c r="B135" s="227">
        <v>119</v>
      </c>
      <c r="C135" s="227" t="s">
        <v>39</v>
      </c>
      <c r="D135" s="28">
        <v>40016324</v>
      </c>
      <c r="E135" s="247" t="s">
        <v>1403</v>
      </c>
      <c r="F135" s="247" t="s">
        <v>54</v>
      </c>
      <c r="G135" s="229" t="s">
        <v>1237</v>
      </c>
      <c r="H135" s="247" t="s">
        <v>1242</v>
      </c>
      <c r="I135" s="247" t="s">
        <v>72</v>
      </c>
      <c r="J135" s="248">
        <v>186309</v>
      </c>
      <c r="K135" s="248"/>
      <c r="L135" s="248">
        <f t="shared" si="5"/>
        <v>186309</v>
      </c>
      <c r="M135" s="249"/>
      <c r="N135" s="249"/>
      <c r="O135" s="249"/>
      <c r="P135" s="249"/>
      <c r="Q135" s="249"/>
      <c r="R135" s="249"/>
      <c r="S135" s="249"/>
      <c r="T135" s="249"/>
      <c r="U135" s="249"/>
      <c r="V135" s="249"/>
      <c r="W135" s="249"/>
      <c r="X135" s="249"/>
      <c r="Y135" s="249">
        <f t="shared" si="6"/>
        <v>0</v>
      </c>
      <c r="Z135" s="249">
        <v>5</v>
      </c>
      <c r="AA135" s="249" t="s">
        <v>1376</v>
      </c>
      <c r="AB135" s="250">
        <v>44225</v>
      </c>
      <c r="AC135" s="251">
        <v>44244</v>
      </c>
      <c r="AD135" s="249"/>
      <c r="AE135" s="249"/>
      <c r="AF135" s="250"/>
      <c r="AG135" s="250"/>
      <c r="AH135" s="249"/>
      <c r="AI135" s="249"/>
      <c r="AJ135" s="250"/>
      <c r="AK135" s="249"/>
      <c r="AL135" s="249"/>
      <c r="AM135" s="249"/>
      <c r="AN135" s="249"/>
      <c r="AO135" s="249"/>
      <c r="AP135" s="249"/>
      <c r="AQ135" s="249"/>
      <c r="AR135" s="249"/>
      <c r="AS135" s="249"/>
      <c r="AT135" s="249">
        <v>5</v>
      </c>
      <c r="AU135" s="249">
        <f t="shared" si="7"/>
        <v>5</v>
      </c>
      <c r="AV135" s="269">
        <f t="shared" si="8"/>
        <v>5</v>
      </c>
      <c r="AW135" s="269">
        <f t="shared" si="9"/>
        <v>0</v>
      </c>
    </row>
    <row r="136" spans="2:49" s="140" customFormat="1" ht="22.5" x14ac:dyDescent="0.25">
      <c r="B136" s="227">
        <v>120</v>
      </c>
      <c r="C136" s="227" t="s">
        <v>39</v>
      </c>
      <c r="D136" s="28">
        <v>30465434</v>
      </c>
      <c r="E136" s="247" t="s">
        <v>1404</v>
      </c>
      <c r="F136" s="247" t="s">
        <v>54</v>
      </c>
      <c r="G136" s="229" t="s">
        <v>1237</v>
      </c>
      <c r="H136" s="247" t="s">
        <v>1242</v>
      </c>
      <c r="I136" s="247" t="s">
        <v>72</v>
      </c>
      <c r="J136" s="248">
        <v>2332181</v>
      </c>
      <c r="K136" s="248"/>
      <c r="L136" s="248">
        <f t="shared" si="5"/>
        <v>2332181</v>
      </c>
      <c r="M136" s="249"/>
      <c r="N136" s="249"/>
      <c r="O136" s="249"/>
      <c r="P136" s="249"/>
      <c r="Q136" s="249"/>
      <c r="R136" s="249"/>
      <c r="S136" s="249"/>
      <c r="T136" s="249"/>
      <c r="U136" s="249"/>
      <c r="V136" s="249"/>
      <c r="W136" s="249"/>
      <c r="X136" s="249"/>
      <c r="Y136" s="249">
        <f t="shared" si="6"/>
        <v>0</v>
      </c>
      <c r="Z136" s="249">
        <v>3</v>
      </c>
      <c r="AA136" s="249" t="s">
        <v>1376</v>
      </c>
      <c r="AB136" s="250">
        <v>44225</v>
      </c>
      <c r="AC136" s="251">
        <v>44244</v>
      </c>
      <c r="AD136" s="249"/>
      <c r="AE136" s="249"/>
      <c r="AF136" s="250"/>
      <c r="AG136" s="250"/>
      <c r="AH136" s="249"/>
      <c r="AI136" s="249"/>
      <c r="AJ136" s="250"/>
      <c r="AK136" s="249"/>
      <c r="AL136" s="249"/>
      <c r="AM136" s="249"/>
      <c r="AN136" s="249"/>
      <c r="AO136" s="249"/>
      <c r="AP136" s="249"/>
      <c r="AQ136" s="249"/>
      <c r="AR136" s="249"/>
      <c r="AS136" s="249"/>
      <c r="AT136" s="249">
        <v>3</v>
      </c>
      <c r="AU136" s="249">
        <f t="shared" si="7"/>
        <v>3</v>
      </c>
      <c r="AV136" s="269">
        <f t="shared" si="8"/>
        <v>3</v>
      </c>
      <c r="AW136" s="269">
        <f t="shared" si="9"/>
        <v>0</v>
      </c>
    </row>
    <row r="137" spans="2:49" s="140" customFormat="1" x14ac:dyDescent="0.25">
      <c r="B137" s="227">
        <v>121</v>
      </c>
      <c r="C137" s="227" t="s">
        <v>39</v>
      </c>
      <c r="D137" s="28">
        <v>40016707</v>
      </c>
      <c r="E137" s="247" t="s">
        <v>1405</v>
      </c>
      <c r="F137" s="247" t="s">
        <v>54</v>
      </c>
      <c r="G137" s="229" t="s">
        <v>1237</v>
      </c>
      <c r="H137" s="247" t="s">
        <v>1242</v>
      </c>
      <c r="I137" s="247" t="s">
        <v>72</v>
      </c>
      <c r="J137" s="248">
        <v>279176</v>
      </c>
      <c r="K137" s="248"/>
      <c r="L137" s="248">
        <f t="shared" si="5"/>
        <v>279176</v>
      </c>
      <c r="M137" s="249"/>
      <c r="N137" s="249"/>
      <c r="O137" s="249"/>
      <c r="P137" s="249"/>
      <c r="Q137" s="249"/>
      <c r="R137" s="249"/>
      <c r="S137" s="249"/>
      <c r="T137" s="249"/>
      <c r="U137" s="249"/>
      <c r="V137" s="249"/>
      <c r="W137" s="249"/>
      <c r="X137" s="249"/>
      <c r="Y137" s="249">
        <f t="shared" si="6"/>
        <v>0</v>
      </c>
      <c r="Z137" s="249">
        <v>3</v>
      </c>
      <c r="AA137" s="249" t="s">
        <v>1376</v>
      </c>
      <c r="AB137" s="250">
        <v>44225</v>
      </c>
      <c r="AC137" s="251">
        <v>44244</v>
      </c>
      <c r="AD137" s="249"/>
      <c r="AE137" s="249"/>
      <c r="AF137" s="250"/>
      <c r="AG137" s="250"/>
      <c r="AH137" s="249"/>
      <c r="AI137" s="249"/>
      <c r="AJ137" s="250"/>
      <c r="AK137" s="249"/>
      <c r="AL137" s="249"/>
      <c r="AM137" s="249"/>
      <c r="AN137" s="249"/>
      <c r="AO137" s="249"/>
      <c r="AP137" s="249"/>
      <c r="AQ137" s="249"/>
      <c r="AR137" s="249"/>
      <c r="AS137" s="249"/>
      <c r="AT137" s="249">
        <v>3</v>
      </c>
      <c r="AU137" s="249">
        <f t="shared" si="7"/>
        <v>3</v>
      </c>
      <c r="AV137" s="269">
        <f t="shared" si="8"/>
        <v>3</v>
      </c>
      <c r="AW137" s="269">
        <f t="shared" si="9"/>
        <v>0</v>
      </c>
    </row>
    <row r="138" spans="2:49" s="140" customFormat="1" ht="22.5" x14ac:dyDescent="0.25">
      <c r="B138" s="227">
        <v>122</v>
      </c>
      <c r="C138" s="227" t="s">
        <v>39</v>
      </c>
      <c r="D138" s="28">
        <v>40016947</v>
      </c>
      <c r="E138" s="247" t="s">
        <v>1406</v>
      </c>
      <c r="F138" s="247" t="s">
        <v>1256</v>
      </c>
      <c r="G138" s="229" t="s">
        <v>1237</v>
      </c>
      <c r="H138" s="247" t="s">
        <v>1370</v>
      </c>
      <c r="I138" s="247" t="s">
        <v>72</v>
      </c>
      <c r="J138" s="248">
        <v>37745</v>
      </c>
      <c r="K138" s="248"/>
      <c r="L138" s="248">
        <f t="shared" si="5"/>
        <v>37745</v>
      </c>
      <c r="M138" s="249"/>
      <c r="N138" s="249"/>
      <c r="O138" s="249"/>
      <c r="P138" s="249"/>
      <c r="Q138" s="249"/>
      <c r="R138" s="249"/>
      <c r="S138" s="249"/>
      <c r="T138" s="249"/>
      <c r="U138" s="249"/>
      <c r="V138" s="249"/>
      <c r="W138" s="249"/>
      <c r="X138" s="249"/>
      <c r="Y138" s="249">
        <f t="shared" si="6"/>
        <v>0</v>
      </c>
      <c r="Z138" s="249">
        <v>2</v>
      </c>
      <c r="AA138" s="249" t="s">
        <v>1376</v>
      </c>
      <c r="AB138" s="250">
        <v>44225</v>
      </c>
      <c r="AC138" s="251">
        <v>44244</v>
      </c>
      <c r="AD138" s="249"/>
      <c r="AE138" s="249"/>
      <c r="AF138" s="250"/>
      <c r="AG138" s="250"/>
      <c r="AH138" s="249"/>
      <c r="AI138" s="249"/>
      <c r="AJ138" s="250"/>
      <c r="AK138" s="249"/>
      <c r="AL138" s="249"/>
      <c r="AM138" s="249"/>
      <c r="AN138" s="249"/>
      <c r="AO138" s="249"/>
      <c r="AP138" s="249"/>
      <c r="AQ138" s="249"/>
      <c r="AR138" s="249"/>
      <c r="AS138" s="249"/>
      <c r="AT138" s="249">
        <v>2</v>
      </c>
      <c r="AU138" s="249">
        <f t="shared" si="7"/>
        <v>2</v>
      </c>
      <c r="AV138" s="269">
        <f t="shared" si="8"/>
        <v>2</v>
      </c>
      <c r="AW138" s="269">
        <f t="shared" si="9"/>
        <v>0</v>
      </c>
    </row>
    <row r="139" spans="2:49" s="140" customFormat="1" ht="22.5" x14ac:dyDescent="0.25">
      <c r="B139" s="227">
        <v>123</v>
      </c>
      <c r="C139" s="227" t="s">
        <v>39</v>
      </c>
      <c r="D139" s="28">
        <v>40020856</v>
      </c>
      <c r="E139" s="247" t="s">
        <v>1407</v>
      </c>
      <c r="F139" s="247" t="s">
        <v>1256</v>
      </c>
      <c r="G139" s="229" t="s">
        <v>1237</v>
      </c>
      <c r="H139" s="247" t="s">
        <v>1260</v>
      </c>
      <c r="I139" s="247" t="s">
        <v>72</v>
      </c>
      <c r="J139" s="248">
        <v>484209</v>
      </c>
      <c r="K139" s="248"/>
      <c r="L139" s="248">
        <f t="shared" si="5"/>
        <v>484209</v>
      </c>
      <c r="M139" s="249"/>
      <c r="N139" s="249"/>
      <c r="O139" s="249"/>
      <c r="P139" s="249"/>
      <c r="Q139" s="249"/>
      <c r="R139" s="249"/>
      <c r="S139" s="249"/>
      <c r="T139" s="249"/>
      <c r="U139" s="249"/>
      <c r="V139" s="249"/>
      <c r="W139" s="249"/>
      <c r="X139" s="249"/>
      <c r="Y139" s="249">
        <f t="shared" si="6"/>
        <v>0</v>
      </c>
      <c r="Z139" s="249">
        <v>2</v>
      </c>
      <c r="AA139" s="249" t="s">
        <v>1376</v>
      </c>
      <c r="AB139" s="250">
        <v>44225</v>
      </c>
      <c r="AC139" s="251">
        <v>44244</v>
      </c>
      <c r="AD139" s="249"/>
      <c r="AE139" s="249"/>
      <c r="AF139" s="250"/>
      <c r="AG139" s="250"/>
      <c r="AH139" s="249"/>
      <c r="AI139" s="249"/>
      <c r="AJ139" s="250"/>
      <c r="AK139" s="249"/>
      <c r="AL139" s="249"/>
      <c r="AM139" s="249"/>
      <c r="AN139" s="249"/>
      <c r="AO139" s="249"/>
      <c r="AP139" s="249"/>
      <c r="AQ139" s="249"/>
      <c r="AR139" s="249"/>
      <c r="AS139" s="249"/>
      <c r="AT139" s="249">
        <v>2</v>
      </c>
      <c r="AU139" s="249">
        <f t="shared" si="7"/>
        <v>2</v>
      </c>
      <c r="AV139" s="269">
        <f t="shared" si="8"/>
        <v>2</v>
      </c>
      <c r="AW139" s="269">
        <f t="shared" si="9"/>
        <v>0</v>
      </c>
    </row>
    <row r="140" spans="2:49" s="140" customFormat="1" ht="22.5" x14ac:dyDescent="0.25">
      <c r="B140" s="227">
        <v>124</v>
      </c>
      <c r="C140" s="227" t="s">
        <v>39</v>
      </c>
      <c r="D140" s="28">
        <v>30459154</v>
      </c>
      <c r="E140" s="247" t="s">
        <v>1408</v>
      </c>
      <c r="F140" s="247" t="s">
        <v>54</v>
      </c>
      <c r="G140" s="229" t="s">
        <v>1237</v>
      </c>
      <c r="H140" s="247" t="s">
        <v>1260</v>
      </c>
      <c r="I140" s="247" t="s">
        <v>72</v>
      </c>
      <c r="J140" s="248">
        <v>617248</v>
      </c>
      <c r="K140" s="248"/>
      <c r="L140" s="248">
        <f t="shared" si="5"/>
        <v>617248</v>
      </c>
      <c r="M140" s="249"/>
      <c r="N140" s="249"/>
      <c r="O140" s="249"/>
      <c r="P140" s="249"/>
      <c r="Q140" s="249"/>
      <c r="R140" s="249"/>
      <c r="S140" s="249"/>
      <c r="T140" s="249"/>
      <c r="U140" s="249"/>
      <c r="V140" s="249"/>
      <c r="W140" s="249"/>
      <c r="X140" s="249"/>
      <c r="Y140" s="249">
        <f t="shared" si="6"/>
        <v>0</v>
      </c>
      <c r="Z140" s="249">
        <v>4</v>
      </c>
      <c r="AA140" s="249" t="s">
        <v>1376</v>
      </c>
      <c r="AB140" s="250">
        <v>44225</v>
      </c>
      <c r="AC140" s="251">
        <v>44244</v>
      </c>
      <c r="AD140" s="249"/>
      <c r="AE140" s="249"/>
      <c r="AF140" s="250"/>
      <c r="AG140" s="250"/>
      <c r="AH140" s="249"/>
      <c r="AI140" s="249"/>
      <c r="AJ140" s="250"/>
      <c r="AK140" s="249"/>
      <c r="AL140" s="249"/>
      <c r="AM140" s="249"/>
      <c r="AN140" s="249"/>
      <c r="AO140" s="249"/>
      <c r="AP140" s="249"/>
      <c r="AQ140" s="249"/>
      <c r="AR140" s="249"/>
      <c r="AS140" s="249"/>
      <c r="AT140" s="249">
        <v>4</v>
      </c>
      <c r="AU140" s="249">
        <f t="shared" si="7"/>
        <v>4</v>
      </c>
      <c r="AV140" s="269">
        <f t="shared" si="8"/>
        <v>4</v>
      </c>
      <c r="AW140" s="269">
        <f t="shared" si="9"/>
        <v>0</v>
      </c>
    </row>
    <row r="141" spans="2:49" s="140" customFormat="1" ht="22.5" x14ac:dyDescent="0.25">
      <c r="B141" s="227">
        <v>125</v>
      </c>
      <c r="C141" s="227" t="s">
        <v>39</v>
      </c>
      <c r="D141" s="28">
        <v>40018735</v>
      </c>
      <c r="E141" s="247" t="s">
        <v>1409</v>
      </c>
      <c r="F141" s="247" t="s">
        <v>54</v>
      </c>
      <c r="G141" s="229" t="s">
        <v>1237</v>
      </c>
      <c r="H141" s="247" t="s">
        <v>1319</v>
      </c>
      <c r="I141" s="247" t="s">
        <v>72</v>
      </c>
      <c r="J141" s="248">
        <v>142593</v>
      </c>
      <c r="K141" s="248"/>
      <c r="L141" s="248">
        <f t="shared" si="5"/>
        <v>142593</v>
      </c>
      <c r="M141" s="249"/>
      <c r="N141" s="249"/>
      <c r="O141" s="249"/>
      <c r="P141" s="249"/>
      <c r="Q141" s="249"/>
      <c r="R141" s="249"/>
      <c r="S141" s="249"/>
      <c r="T141" s="249"/>
      <c r="U141" s="249"/>
      <c r="V141" s="249"/>
      <c r="W141" s="249"/>
      <c r="X141" s="249"/>
      <c r="Y141" s="249">
        <f t="shared" si="6"/>
        <v>0</v>
      </c>
      <c r="Z141" s="249">
        <v>3</v>
      </c>
      <c r="AA141" s="249" t="s">
        <v>1376</v>
      </c>
      <c r="AB141" s="250">
        <v>44225</v>
      </c>
      <c r="AC141" s="251">
        <v>44244</v>
      </c>
      <c r="AD141" s="249"/>
      <c r="AE141" s="249"/>
      <c r="AF141" s="250"/>
      <c r="AG141" s="250"/>
      <c r="AH141" s="249"/>
      <c r="AI141" s="249"/>
      <c r="AJ141" s="250"/>
      <c r="AK141" s="249"/>
      <c r="AL141" s="249"/>
      <c r="AM141" s="249"/>
      <c r="AN141" s="249"/>
      <c r="AO141" s="249"/>
      <c r="AP141" s="249"/>
      <c r="AQ141" s="249"/>
      <c r="AR141" s="249"/>
      <c r="AS141" s="249"/>
      <c r="AT141" s="249">
        <v>3</v>
      </c>
      <c r="AU141" s="249">
        <f t="shared" si="7"/>
        <v>3</v>
      </c>
      <c r="AV141" s="269">
        <f t="shared" si="8"/>
        <v>3</v>
      </c>
      <c r="AW141" s="269">
        <f t="shared" si="9"/>
        <v>0</v>
      </c>
    </row>
    <row r="142" spans="2:49" s="140" customFormat="1" ht="22.5" x14ac:dyDescent="0.25">
      <c r="B142" s="227">
        <v>126</v>
      </c>
      <c r="C142" s="227" t="s">
        <v>39</v>
      </c>
      <c r="D142" s="28">
        <v>40019434</v>
      </c>
      <c r="E142" s="247" t="s">
        <v>1410</v>
      </c>
      <c r="F142" s="247" t="s">
        <v>54</v>
      </c>
      <c r="G142" s="229" t="s">
        <v>1237</v>
      </c>
      <c r="H142" s="247" t="s">
        <v>1319</v>
      </c>
      <c r="I142" s="247" t="s">
        <v>72</v>
      </c>
      <c r="J142" s="248">
        <v>150428</v>
      </c>
      <c r="K142" s="248"/>
      <c r="L142" s="248">
        <f t="shared" si="5"/>
        <v>150428</v>
      </c>
      <c r="M142" s="249"/>
      <c r="N142" s="249"/>
      <c r="O142" s="249"/>
      <c r="P142" s="249"/>
      <c r="Q142" s="249"/>
      <c r="R142" s="249"/>
      <c r="S142" s="249"/>
      <c r="T142" s="249"/>
      <c r="U142" s="249"/>
      <c r="V142" s="249"/>
      <c r="W142" s="249"/>
      <c r="X142" s="249"/>
      <c r="Y142" s="249">
        <f t="shared" si="6"/>
        <v>0</v>
      </c>
      <c r="Z142" s="249">
        <v>3</v>
      </c>
      <c r="AA142" s="249" t="s">
        <v>1376</v>
      </c>
      <c r="AB142" s="250">
        <v>44225</v>
      </c>
      <c r="AC142" s="251">
        <v>44244</v>
      </c>
      <c r="AD142" s="249"/>
      <c r="AE142" s="249"/>
      <c r="AF142" s="250"/>
      <c r="AG142" s="250"/>
      <c r="AH142" s="249"/>
      <c r="AI142" s="249"/>
      <c r="AJ142" s="250"/>
      <c r="AK142" s="249"/>
      <c r="AL142" s="249"/>
      <c r="AM142" s="249"/>
      <c r="AN142" s="249"/>
      <c r="AO142" s="249"/>
      <c r="AP142" s="249"/>
      <c r="AQ142" s="249"/>
      <c r="AR142" s="249"/>
      <c r="AS142" s="249"/>
      <c r="AT142" s="249">
        <v>3</v>
      </c>
      <c r="AU142" s="249">
        <f t="shared" si="7"/>
        <v>3</v>
      </c>
      <c r="AV142" s="269">
        <f t="shared" si="8"/>
        <v>3</v>
      </c>
      <c r="AW142" s="269">
        <f t="shared" si="9"/>
        <v>0</v>
      </c>
    </row>
    <row r="143" spans="2:49" s="140" customFormat="1" x14ac:dyDescent="0.25">
      <c r="B143" s="227">
        <v>127</v>
      </c>
      <c r="C143" s="227" t="s">
        <v>42</v>
      </c>
      <c r="D143" s="28">
        <v>40017055</v>
      </c>
      <c r="E143" s="247" t="s">
        <v>1411</v>
      </c>
      <c r="F143" s="247" t="s">
        <v>54</v>
      </c>
      <c r="G143" s="229" t="s">
        <v>1237</v>
      </c>
      <c r="H143" s="247" t="s">
        <v>1300</v>
      </c>
      <c r="I143" s="247" t="s">
        <v>72</v>
      </c>
      <c r="J143" s="248">
        <v>79887</v>
      </c>
      <c r="K143" s="248"/>
      <c r="L143" s="248">
        <f t="shared" si="5"/>
        <v>79887</v>
      </c>
      <c r="M143" s="249"/>
      <c r="N143" s="249"/>
      <c r="O143" s="249"/>
      <c r="P143" s="249"/>
      <c r="Q143" s="249"/>
      <c r="R143" s="249"/>
      <c r="S143" s="249"/>
      <c r="T143" s="249"/>
      <c r="U143" s="249"/>
      <c r="V143" s="249"/>
      <c r="W143" s="249"/>
      <c r="X143" s="249"/>
      <c r="Y143" s="249">
        <f t="shared" si="6"/>
        <v>0</v>
      </c>
      <c r="Z143" s="249">
        <v>1</v>
      </c>
      <c r="AA143" s="249" t="s">
        <v>1376</v>
      </c>
      <c r="AB143" s="250">
        <v>44225</v>
      </c>
      <c r="AC143" s="251">
        <v>44244</v>
      </c>
      <c r="AD143" s="249"/>
      <c r="AE143" s="249"/>
      <c r="AF143" s="250"/>
      <c r="AG143" s="250"/>
      <c r="AH143" s="249"/>
      <c r="AI143" s="249"/>
      <c r="AJ143" s="250"/>
      <c r="AK143" s="249"/>
      <c r="AL143" s="249"/>
      <c r="AM143" s="249"/>
      <c r="AN143" s="249"/>
      <c r="AO143" s="249"/>
      <c r="AP143" s="249"/>
      <c r="AQ143" s="249"/>
      <c r="AR143" s="249"/>
      <c r="AS143" s="249"/>
      <c r="AT143" s="249">
        <v>1</v>
      </c>
      <c r="AU143" s="249">
        <f t="shared" si="7"/>
        <v>1</v>
      </c>
      <c r="AV143" s="269">
        <f t="shared" si="8"/>
        <v>1</v>
      </c>
      <c r="AW143" s="269">
        <f t="shared" si="9"/>
        <v>0</v>
      </c>
    </row>
    <row r="144" spans="2:49" s="140" customFormat="1" ht="22.5" x14ac:dyDescent="0.25">
      <c r="B144" s="227">
        <v>128</v>
      </c>
      <c r="C144" s="227" t="s">
        <v>39</v>
      </c>
      <c r="D144" s="28">
        <v>40010504</v>
      </c>
      <c r="E144" s="247" t="s">
        <v>1412</v>
      </c>
      <c r="F144" s="247" t="s">
        <v>54</v>
      </c>
      <c r="G144" s="229" t="s">
        <v>1237</v>
      </c>
      <c r="H144" s="247" t="s">
        <v>1262</v>
      </c>
      <c r="I144" s="247" t="s">
        <v>72</v>
      </c>
      <c r="J144" s="248">
        <v>1850234</v>
      </c>
      <c r="K144" s="248"/>
      <c r="L144" s="248">
        <f t="shared" si="5"/>
        <v>1850234</v>
      </c>
      <c r="M144" s="249"/>
      <c r="N144" s="249"/>
      <c r="O144" s="249"/>
      <c r="P144" s="249"/>
      <c r="Q144" s="249"/>
      <c r="R144" s="249"/>
      <c r="S144" s="249"/>
      <c r="T144" s="249"/>
      <c r="U144" s="249"/>
      <c r="V144" s="249"/>
      <c r="W144" s="249"/>
      <c r="X144" s="249"/>
      <c r="Y144" s="249">
        <f t="shared" si="6"/>
        <v>0</v>
      </c>
      <c r="Z144" s="249">
        <v>3</v>
      </c>
      <c r="AA144" s="249" t="s">
        <v>1376</v>
      </c>
      <c r="AB144" s="250">
        <v>44225</v>
      </c>
      <c r="AC144" s="251">
        <v>44244</v>
      </c>
      <c r="AD144" s="249"/>
      <c r="AE144" s="249"/>
      <c r="AF144" s="250"/>
      <c r="AG144" s="250"/>
      <c r="AH144" s="249"/>
      <c r="AI144" s="249"/>
      <c r="AJ144" s="250"/>
      <c r="AK144" s="249"/>
      <c r="AL144" s="249"/>
      <c r="AM144" s="249"/>
      <c r="AN144" s="249"/>
      <c r="AO144" s="249"/>
      <c r="AP144" s="249"/>
      <c r="AQ144" s="249"/>
      <c r="AR144" s="249"/>
      <c r="AS144" s="249"/>
      <c r="AT144" s="249">
        <v>3</v>
      </c>
      <c r="AU144" s="249">
        <f t="shared" si="7"/>
        <v>3</v>
      </c>
      <c r="AV144" s="269">
        <f t="shared" si="8"/>
        <v>3</v>
      </c>
      <c r="AW144" s="269">
        <f t="shared" si="9"/>
        <v>0</v>
      </c>
    </row>
    <row r="145" spans="2:49" s="140" customFormat="1" ht="22.5" x14ac:dyDescent="0.25">
      <c r="B145" s="227">
        <v>129</v>
      </c>
      <c r="C145" s="227" t="s">
        <v>39</v>
      </c>
      <c r="D145" s="28">
        <v>40017812</v>
      </c>
      <c r="E145" s="247" t="s">
        <v>1413</v>
      </c>
      <c r="F145" s="247" t="s">
        <v>54</v>
      </c>
      <c r="G145" s="229" t="s">
        <v>1237</v>
      </c>
      <c r="H145" s="247" t="s">
        <v>1329</v>
      </c>
      <c r="I145" s="247" t="s">
        <v>72</v>
      </c>
      <c r="J145" s="248">
        <v>521002</v>
      </c>
      <c r="K145" s="248"/>
      <c r="L145" s="248">
        <f t="shared" si="5"/>
        <v>521002</v>
      </c>
      <c r="M145" s="249"/>
      <c r="N145" s="249"/>
      <c r="O145" s="249"/>
      <c r="P145" s="249"/>
      <c r="Q145" s="249"/>
      <c r="R145" s="249"/>
      <c r="S145" s="249"/>
      <c r="T145" s="249"/>
      <c r="U145" s="249"/>
      <c r="V145" s="249"/>
      <c r="W145" s="249"/>
      <c r="X145" s="249"/>
      <c r="Y145" s="249">
        <f t="shared" si="6"/>
        <v>0</v>
      </c>
      <c r="Z145" s="249">
        <v>3</v>
      </c>
      <c r="AA145" s="249" t="s">
        <v>1376</v>
      </c>
      <c r="AB145" s="250">
        <v>44225</v>
      </c>
      <c r="AC145" s="251">
        <v>44244</v>
      </c>
      <c r="AD145" s="249"/>
      <c r="AE145" s="249"/>
      <c r="AF145" s="250"/>
      <c r="AG145" s="250"/>
      <c r="AH145" s="249"/>
      <c r="AI145" s="249"/>
      <c r="AJ145" s="250"/>
      <c r="AK145" s="249"/>
      <c r="AL145" s="249"/>
      <c r="AM145" s="249"/>
      <c r="AN145" s="249"/>
      <c r="AO145" s="249"/>
      <c r="AP145" s="249"/>
      <c r="AQ145" s="249"/>
      <c r="AR145" s="249"/>
      <c r="AS145" s="249"/>
      <c r="AT145" s="249">
        <v>3</v>
      </c>
      <c r="AU145" s="249">
        <f t="shared" si="7"/>
        <v>3</v>
      </c>
      <c r="AV145" s="269">
        <f t="shared" si="8"/>
        <v>3</v>
      </c>
      <c r="AW145" s="269">
        <f t="shared" si="9"/>
        <v>0</v>
      </c>
    </row>
    <row r="146" spans="2:49" s="140" customFormat="1" ht="22.5" x14ac:dyDescent="0.25">
      <c r="B146" s="227">
        <v>130</v>
      </c>
      <c r="C146" s="227" t="s">
        <v>39</v>
      </c>
      <c r="D146" s="28">
        <v>30118479</v>
      </c>
      <c r="E146" s="247" t="s">
        <v>1414</v>
      </c>
      <c r="F146" s="247" t="s">
        <v>54</v>
      </c>
      <c r="G146" s="229" t="s">
        <v>1237</v>
      </c>
      <c r="H146" s="247" t="s">
        <v>1345</v>
      </c>
      <c r="I146" s="247" t="s">
        <v>72</v>
      </c>
      <c r="J146" s="248">
        <v>232308</v>
      </c>
      <c r="K146" s="248"/>
      <c r="L146" s="248">
        <f t="shared" ref="L146:L209" si="10">J146-K146</f>
        <v>232308</v>
      </c>
      <c r="M146" s="249"/>
      <c r="N146" s="249"/>
      <c r="O146" s="249"/>
      <c r="P146" s="249"/>
      <c r="Q146" s="249"/>
      <c r="R146" s="249"/>
      <c r="S146" s="249"/>
      <c r="T146" s="249"/>
      <c r="U146" s="249"/>
      <c r="V146" s="249"/>
      <c r="W146" s="249"/>
      <c r="X146" s="249"/>
      <c r="Y146" s="249">
        <f t="shared" ref="Y146:Y209" si="11">SUM(M146:X146)</f>
        <v>0</v>
      </c>
      <c r="Z146" s="249">
        <v>3</v>
      </c>
      <c r="AA146" s="249" t="s">
        <v>1376</v>
      </c>
      <c r="AB146" s="250">
        <v>44225</v>
      </c>
      <c r="AC146" s="251">
        <v>44244</v>
      </c>
      <c r="AD146" s="249"/>
      <c r="AE146" s="249"/>
      <c r="AF146" s="250"/>
      <c r="AG146" s="250"/>
      <c r="AH146" s="249"/>
      <c r="AI146" s="249"/>
      <c r="AJ146" s="250"/>
      <c r="AK146" s="249"/>
      <c r="AL146" s="249"/>
      <c r="AM146" s="249"/>
      <c r="AN146" s="249"/>
      <c r="AO146" s="249"/>
      <c r="AP146" s="249"/>
      <c r="AQ146" s="249"/>
      <c r="AR146" s="249"/>
      <c r="AS146" s="249"/>
      <c r="AT146" s="249">
        <v>3</v>
      </c>
      <c r="AU146" s="249">
        <f t="shared" ref="AU146:AU209" si="12">AT146-Y146</f>
        <v>3</v>
      </c>
      <c r="AV146" s="269">
        <f t="shared" ref="AV146:AV209" si="13">Z146+AD146</f>
        <v>3</v>
      </c>
      <c r="AW146" s="269">
        <f t="shared" ref="AW146:AW209" si="14">AV146-AT146</f>
        <v>0</v>
      </c>
    </row>
    <row r="147" spans="2:49" s="140" customFormat="1" ht="22.5" x14ac:dyDescent="0.25">
      <c r="B147" s="227">
        <v>131</v>
      </c>
      <c r="C147" s="227" t="s">
        <v>39</v>
      </c>
      <c r="D147" s="28">
        <v>30482567</v>
      </c>
      <c r="E147" s="247" t="s">
        <v>1415</v>
      </c>
      <c r="F147" s="247" t="s">
        <v>1256</v>
      </c>
      <c r="G147" s="229" t="s">
        <v>1237</v>
      </c>
      <c r="H147" s="247" t="s">
        <v>1237</v>
      </c>
      <c r="I147" s="247" t="s">
        <v>72</v>
      </c>
      <c r="J147" s="248">
        <v>386199</v>
      </c>
      <c r="K147" s="248"/>
      <c r="L147" s="248">
        <f t="shared" si="10"/>
        <v>386199</v>
      </c>
      <c r="M147" s="249"/>
      <c r="N147" s="249"/>
      <c r="O147" s="249"/>
      <c r="P147" s="249"/>
      <c r="Q147" s="249"/>
      <c r="R147" s="249"/>
      <c r="S147" s="249"/>
      <c r="T147" s="249"/>
      <c r="U147" s="249"/>
      <c r="V147" s="249"/>
      <c r="W147" s="249"/>
      <c r="X147" s="249"/>
      <c r="Y147" s="249">
        <f t="shared" si="11"/>
        <v>0</v>
      </c>
      <c r="Z147" s="249">
        <v>2</v>
      </c>
      <c r="AA147" s="249" t="s">
        <v>1376</v>
      </c>
      <c r="AB147" s="250">
        <v>44225</v>
      </c>
      <c r="AC147" s="251">
        <v>44244</v>
      </c>
      <c r="AD147" s="249"/>
      <c r="AE147" s="249"/>
      <c r="AF147" s="250"/>
      <c r="AG147" s="250"/>
      <c r="AH147" s="249"/>
      <c r="AI147" s="249"/>
      <c r="AJ147" s="250"/>
      <c r="AK147" s="249"/>
      <c r="AL147" s="249"/>
      <c r="AM147" s="249"/>
      <c r="AN147" s="249"/>
      <c r="AO147" s="249"/>
      <c r="AP147" s="249"/>
      <c r="AQ147" s="249"/>
      <c r="AR147" s="249"/>
      <c r="AS147" s="249"/>
      <c r="AT147" s="249">
        <v>2</v>
      </c>
      <c r="AU147" s="249">
        <f t="shared" si="12"/>
        <v>2</v>
      </c>
      <c r="AV147" s="269">
        <f t="shared" si="13"/>
        <v>2</v>
      </c>
      <c r="AW147" s="269">
        <f t="shared" si="14"/>
        <v>0</v>
      </c>
    </row>
    <row r="148" spans="2:49" s="140" customFormat="1" ht="22.5" x14ac:dyDescent="0.25">
      <c r="B148" s="227">
        <v>132</v>
      </c>
      <c r="C148" s="227" t="s">
        <v>39</v>
      </c>
      <c r="D148" s="28">
        <v>30459937</v>
      </c>
      <c r="E148" s="247" t="s">
        <v>1416</v>
      </c>
      <c r="F148" s="247" t="s">
        <v>54</v>
      </c>
      <c r="G148" s="229" t="s">
        <v>1237</v>
      </c>
      <c r="H148" s="247" t="s">
        <v>1288</v>
      </c>
      <c r="I148" s="247" t="s">
        <v>72</v>
      </c>
      <c r="J148" s="248">
        <v>182535</v>
      </c>
      <c r="K148" s="248"/>
      <c r="L148" s="248">
        <f t="shared" si="10"/>
        <v>182535</v>
      </c>
      <c r="M148" s="249"/>
      <c r="N148" s="249"/>
      <c r="O148" s="249"/>
      <c r="P148" s="249"/>
      <c r="Q148" s="249"/>
      <c r="R148" s="249"/>
      <c r="S148" s="249"/>
      <c r="T148" s="249"/>
      <c r="U148" s="249"/>
      <c r="V148" s="249"/>
      <c r="W148" s="249"/>
      <c r="X148" s="249"/>
      <c r="Y148" s="249">
        <f t="shared" si="11"/>
        <v>0</v>
      </c>
      <c r="Z148" s="249">
        <v>2</v>
      </c>
      <c r="AA148" s="249" t="s">
        <v>1376</v>
      </c>
      <c r="AB148" s="250">
        <v>44225</v>
      </c>
      <c r="AC148" s="251">
        <v>44244</v>
      </c>
      <c r="AD148" s="249">
        <v>20743</v>
      </c>
      <c r="AE148" s="249" t="s">
        <v>1417</v>
      </c>
      <c r="AF148" s="250">
        <v>44253</v>
      </c>
      <c r="AG148" s="250">
        <v>44279</v>
      </c>
      <c r="AH148" s="249"/>
      <c r="AI148" s="249"/>
      <c r="AJ148" s="250"/>
      <c r="AK148" s="249"/>
      <c r="AL148" s="249"/>
      <c r="AM148" s="249"/>
      <c r="AN148" s="249"/>
      <c r="AO148" s="249"/>
      <c r="AP148" s="249"/>
      <c r="AQ148" s="249"/>
      <c r="AR148" s="249"/>
      <c r="AS148" s="249"/>
      <c r="AT148" s="249">
        <v>20745</v>
      </c>
      <c r="AU148" s="249">
        <f t="shared" si="12"/>
        <v>20745</v>
      </c>
      <c r="AV148" s="269">
        <f t="shared" si="13"/>
        <v>20745</v>
      </c>
      <c r="AW148" s="269">
        <f t="shared" si="14"/>
        <v>0</v>
      </c>
    </row>
    <row r="149" spans="2:49" s="140" customFormat="1" ht="22.5" x14ac:dyDescent="0.25">
      <c r="B149" s="227">
        <v>133</v>
      </c>
      <c r="C149" s="227" t="s">
        <v>39</v>
      </c>
      <c r="D149" s="28">
        <v>40000301</v>
      </c>
      <c r="E149" s="247" t="s">
        <v>1418</v>
      </c>
      <c r="F149" s="247" t="s">
        <v>54</v>
      </c>
      <c r="G149" s="229" t="s">
        <v>1237</v>
      </c>
      <c r="H149" s="247" t="s">
        <v>1288</v>
      </c>
      <c r="I149" s="247" t="s">
        <v>72</v>
      </c>
      <c r="J149" s="248">
        <v>250697</v>
      </c>
      <c r="K149" s="248"/>
      <c r="L149" s="248">
        <f t="shared" si="10"/>
        <v>250697</v>
      </c>
      <c r="M149" s="249"/>
      <c r="N149" s="249"/>
      <c r="O149" s="249"/>
      <c r="P149" s="249"/>
      <c r="Q149" s="249"/>
      <c r="R149" s="249"/>
      <c r="S149" s="249"/>
      <c r="T149" s="249"/>
      <c r="U149" s="249"/>
      <c r="V149" s="249"/>
      <c r="W149" s="249"/>
      <c r="X149" s="249"/>
      <c r="Y149" s="249">
        <f t="shared" si="11"/>
        <v>0</v>
      </c>
      <c r="Z149" s="249">
        <v>2</v>
      </c>
      <c r="AA149" s="249" t="s">
        <v>1376</v>
      </c>
      <c r="AB149" s="250">
        <v>44225</v>
      </c>
      <c r="AC149" s="251">
        <v>44244</v>
      </c>
      <c r="AD149" s="249"/>
      <c r="AE149" s="249"/>
      <c r="AF149" s="250"/>
      <c r="AG149" s="250"/>
      <c r="AH149" s="249"/>
      <c r="AI149" s="249"/>
      <c r="AJ149" s="250"/>
      <c r="AK149" s="249"/>
      <c r="AL149" s="249"/>
      <c r="AM149" s="249"/>
      <c r="AN149" s="249"/>
      <c r="AO149" s="249"/>
      <c r="AP149" s="249"/>
      <c r="AQ149" s="249"/>
      <c r="AR149" s="249"/>
      <c r="AS149" s="249"/>
      <c r="AT149" s="249">
        <v>2</v>
      </c>
      <c r="AU149" s="249">
        <f t="shared" si="12"/>
        <v>2</v>
      </c>
      <c r="AV149" s="269">
        <f t="shared" si="13"/>
        <v>2</v>
      </c>
      <c r="AW149" s="269">
        <f t="shared" si="14"/>
        <v>0</v>
      </c>
    </row>
    <row r="150" spans="2:49" s="140" customFormat="1" ht="22.5" x14ac:dyDescent="0.25">
      <c r="B150" s="227">
        <v>134</v>
      </c>
      <c r="C150" s="227" t="s">
        <v>39</v>
      </c>
      <c r="D150" s="28">
        <v>40016754</v>
      </c>
      <c r="E150" s="247" t="s">
        <v>1419</v>
      </c>
      <c r="F150" s="247" t="s">
        <v>54</v>
      </c>
      <c r="G150" s="229" t="s">
        <v>1237</v>
      </c>
      <c r="H150" s="247" t="s">
        <v>1312</v>
      </c>
      <c r="I150" s="247" t="s">
        <v>72</v>
      </c>
      <c r="J150" s="248">
        <v>756530</v>
      </c>
      <c r="K150" s="248"/>
      <c r="L150" s="248">
        <f t="shared" si="10"/>
        <v>756530</v>
      </c>
      <c r="M150" s="249"/>
      <c r="N150" s="249"/>
      <c r="O150" s="249"/>
      <c r="P150" s="249"/>
      <c r="Q150" s="249"/>
      <c r="R150" s="249"/>
      <c r="S150" s="249"/>
      <c r="T150" s="249"/>
      <c r="U150" s="249"/>
      <c r="V150" s="249"/>
      <c r="W150" s="249"/>
      <c r="X150" s="249"/>
      <c r="Y150" s="249">
        <f t="shared" si="11"/>
        <v>0</v>
      </c>
      <c r="Z150" s="249">
        <v>3</v>
      </c>
      <c r="AA150" s="249" t="s">
        <v>1376</v>
      </c>
      <c r="AB150" s="250">
        <v>44225</v>
      </c>
      <c r="AC150" s="251">
        <v>44244</v>
      </c>
      <c r="AD150" s="249"/>
      <c r="AE150" s="249"/>
      <c r="AF150" s="250"/>
      <c r="AG150" s="250"/>
      <c r="AH150" s="249"/>
      <c r="AI150" s="249"/>
      <c r="AJ150" s="250"/>
      <c r="AK150" s="249"/>
      <c r="AL150" s="249"/>
      <c r="AM150" s="249"/>
      <c r="AN150" s="249"/>
      <c r="AO150" s="249"/>
      <c r="AP150" s="249"/>
      <c r="AQ150" s="249"/>
      <c r="AR150" s="249"/>
      <c r="AS150" s="249"/>
      <c r="AT150" s="249">
        <v>3</v>
      </c>
      <c r="AU150" s="249">
        <f t="shared" si="12"/>
        <v>3</v>
      </c>
      <c r="AV150" s="269">
        <f t="shared" si="13"/>
        <v>3</v>
      </c>
      <c r="AW150" s="269">
        <f t="shared" si="14"/>
        <v>0</v>
      </c>
    </row>
    <row r="151" spans="2:49" s="140" customFormat="1" ht="22.5" x14ac:dyDescent="0.25">
      <c r="B151" s="227">
        <v>135</v>
      </c>
      <c r="C151" s="227" t="s">
        <v>39</v>
      </c>
      <c r="D151" s="28">
        <v>40027511</v>
      </c>
      <c r="E151" s="247" t="s">
        <v>1420</v>
      </c>
      <c r="F151" s="247" t="s">
        <v>54</v>
      </c>
      <c r="G151" s="229" t="s">
        <v>1237</v>
      </c>
      <c r="H151" s="247" t="s">
        <v>1272</v>
      </c>
      <c r="I151" s="247" t="s">
        <v>72</v>
      </c>
      <c r="J151" s="248">
        <v>928242</v>
      </c>
      <c r="K151" s="248"/>
      <c r="L151" s="248">
        <f t="shared" si="10"/>
        <v>928242</v>
      </c>
      <c r="M151" s="249"/>
      <c r="N151" s="249"/>
      <c r="O151" s="249"/>
      <c r="P151" s="249"/>
      <c r="Q151" s="249"/>
      <c r="R151" s="249"/>
      <c r="S151" s="249"/>
      <c r="T151" s="249"/>
      <c r="U151" s="249"/>
      <c r="V151" s="249"/>
      <c r="W151" s="249"/>
      <c r="X151" s="249"/>
      <c r="Y151" s="249">
        <f t="shared" si="11"/>
        <v>0</v>
      </c>
      <c r="Z151" s="249">
        <v>2</v>
      </c>
      <c r="AA151" s="249" t="s">
        <v>1376</v>
      </c>
      <c r="AB151" s="250">
        <v>44225</v>
      </c>
      <c r="AC151" s="251">
        <v>44244</v>
      </c>
      <c r="AD151" s="249"/>
      <c r="AE151" s="249"/>
      <c r="AF151" s="250"/>
      <c r="AG151" s="250"/>
      <c r="AH151" s="249"/>
      <c r="AI151" s="249"/>
      <c r="AJ151" s="250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>
        <v>2</v>
      </c>
      <c r="AU151" s="249">
        <f t="shared" si="12"/>
        <v>2</v>
      </c>
      <c r="AV151" s="269">
        <f t="shared" si="13"/>
        <v>2</v>
      </c>
      <c r="AW151" s="269">
        <f t="shared" si="14"/>
        <v>0</v>
      </c>
    </row>
    <row r="152" spans="2:49" s="140" customFormat="1" ht="22.5" x14ac:dyDescent="0.25">
      <c r="B152" s="227">
        <v>136</v>
      </c>
      <c r="C152" s="227" t="s">
        <v>39</v>
      </c>
      <c r="D152" s="28">
        <v>30484277</v>
      </c>
      <c r="E152" s="247" t="s">
        <v>1421</v>
      </c>
      <c r="F152" s="247" t="s">
        <v>1256</v>
      </c>
      <c r="G152" s="229" t="s">
        <v>1237</v>
      </c>
      <c r="H152" s="247" t="s">
        <v>1288</v>
      </c>
      <c r="I152" s="247" t="s">
        <v>72</v>
      </c>
      <c r="J152" s="248">
        <v>92302</v>
      </c>
      <c r="K152" s="248"/>
      <c r="L152" s="248">
        <f t="shared" si="10"/>
        <v>92302</v>
      </c>
      <c r="M152" s="249">
        <v>8009.07</v>
      </c>
      <c r="N152" s="249"/>
      <c r="O152" s="249"/>
      <c r="P152" s="249"/>
      <c r="Q152" s="249"/>
      <c r="R152" s="249"/>
      <c r="S152" s="249"/>
      <c r="T152" s="249"/>
      <c r="U152" s="249"/>
      <c r="V152" s="249"/>
      <c r="W152" s="249"/>
      <c r="X152" s="249"/>
      <c r="Y152" s="249">
        <f t="shared" si="11"/>
        <v>8009.07</v>
      </c>
      <c r="Z152" s="249">
        <v>8011</v>
      </c>
      <c r="AA152" s="249" t="s">
        <v>1422</v>
      </c>
      <c r="AB152" s="250">
        <v>44225</v>
      </c>
      <c r="AC152" s="251">
        <v>44243</v>
      </c>
      <c r="AD152" s="249"/>
      <c r="AE152" s="249"/>
      <c r="AF152" s="250"/>
      <c r="AG152" s="250"/>
      <c r="AH152" s="249"/>
      <c r="AI152" s="249"/>
      <c r="AJ152" s="250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>
        <v>8011</v>
      </c>
      <c r="AU152" s="249">
        <f t="shared" si="12"/>
        <v>1.930000000000291</v>
      </c>
      <c r="AV152" s="269">
        <f t="shared" si="13"/>
        <v>8011</v>
      </c>
      <c r="AW152" s="269">
        <f t="shared" si="14"/>
        <v>0</v>
      </c>
    </row>
    <row r="153" spans="2:49" s="140" customFormat="1" ht="22.5" x14ac:dyDescent="0.25">
      <c r="B153" s="227">
        <v>137</v>
      </c>
      <c r="C153" s="227" t="s">
        <v>39</v>
      </c>
      <c r="D153" s="28">
        <v>30483438</v>
      </c>
      <c r="E153" s="247" t="s">
        <v>1423</v>
      </c>
      <c r="F153" s="247" t="s">
        <v>1256</v>
      </c>
      <c r="G153" s="229" t="s">
        <v>1237</v>
      </c>
      <c r="H153" s="247" t="s">
        <v>1274</v>
      </c>
      <c r="I153" s="247" t="s">
        <v>57</v>
      </c>
      <c r="J153" s="248">
        <v>161792</v>
      </c>
      <c r="K153" s="248">
        <v>83317</v>
      </c>
      <c r="L153" s="248">
        <f t="shared" si="10"/>
        <v>78475</v>
      </c>
      <c r="M153" s="249"/>
      <c r="N153" s="249"/>
      <c r="O153" s="249"/>
      <c r="P153" s="249"/>
      <c r="Q153" s="249"/>
      <c r="R153" s="249"/>
      <c r="S153" s="249"/>
      <c r="T153" s="249"/>
      <c r="U153" s="249"/>
      <c r="V153" s="249"/>
      <c r="W153" s="249"/>
      <c r="X153" s="249"/>
      <c r="Y153" s="249">
        <f t="shared" si="11"/>
        <v>0</v>
      </c>
      <c r="Z153" s="249">
        <v>78475</v>
      </c>
      <c r="AA153" s="249" t="s">
        <v>1422</v>
      </c>
      <c r="AB153" s="250">
        <v>44225</v>
      </c>
      <c r="AC153" s="251">
        <v>44243</v>
      </c>
      <c r="AD153" s="249"/>
      <c r="AE153" s="249"/>
      <c r="AF153" s="250"/>
      <c r="AG153" s="250"/>
      <c r="AH153" s="249"/>
      <c r="AI153" s="249"/>
      <c r="AJ153" s="250"/>
      <c r="AK153" s="249"/>
      <c r="AL153" s="249"/>
      <c r="AM153" s="249"/>
      <c r="AN153" s="249"/>
      <c r="AO153" s="249"/>
      <c r="AP153" s="249"/>
      <c r="AQ153" s="249"/>
      <c r="AR153" s="249"/>
      <c r="AS153" s="249"/>
      <c r="AT153" s="249">
        <v>78475</v>
      </c>
      <c r="AU153" s="249">
        <f t="shared" si="12"/>
        <v>78475</v>
      </c>
      <c r="AV153" s="269">
        <f t="shared" si="13"/>
        <v>78475</v>
      </c>
      <c r="AW153" s="269">
        <f t="shared" si="14"/>
        <v>0</v>
      </c>
    </row>
    <row r="154" spans="2:49" s="140" customFormat="1" ht="22.5" x14ac:dyDescent="0.25">
      <c r="B154" s="227">
        <v>138</v>
      </c>
      <c r="C154" s="227" t="s">
        <v>39</v>
      </c>
      <c r="D154" s="28">
        <v>30137113</v>
      </c>
      <c r="E154" s="247" t="s">
        <v>1424</v>
      </c>
      <c r="F154" s="247" t="s">
        <v>1256</v>
      </c>
      <c r="G154" s="229" t="s">
        <v>1237</v>
      </c>
      <c r="H154" s="247" t="s">
        <v>1300</v>
      </c>
      <c r="I154" s="247" t="s">
        <v>57</v>
      </c>
      <c r="J154" s="248">
        <v>112308</v>
      </c>
      <c r="K154" s="248">
        <v>84528</v>
      </c>
      <c r="L154" s="248">
        <f t="shared" si="10"/>
        <v>27780</v>
      </c>
      <c r="M154" s="249"/>
      <c r="N154" s="249"/>
      <c r="O154" s="249"/>
      <c r="P154" s="249"/>
      <c r="Q154" s="249"/>
      <c r="R154" s="249"/>
      <c r="S154" s="249"/>
      <c r="T154" s="249"/>
      <c r="U154" s="249"/>
      <c r="V154" s="249"/>
      <c r="W154" s="249"/>
      <c r="X154" s="249"/>
      <c r="Y154" s="249">
        <f t="shared" si="11"/>
        <v>0</v>
      </c>
      <c r="Z154" s="249">
        <v>27780</v>
      </c>
      <c r="AA154" s="249" t="s">
        <v>1422</v>
      </c>
      <c r="AB154" s="250">
        <v>44225</v>
      </c>
      <c r="AC154" s="251">
        <v>44243</v>
      </c>
      <c r="AD154" s="249"/>
      <c r="AE154" s="249"/>
      <c r="AF154" s="250"/>
      <c r="AG154" s="250"/>
      <c r="AH154" s="249"/>
      <c r="AI154" s="249"/>
      <c r="AJ154" s="250"/>
      <c r="AK154" s="249"/>
      <c r="AL154" s="249"/>
      <c r="AM154" s="249"/>
      <c r="AN154" s="249"/>
      <c r="AO154" s="249"/>
      <c r="AP154" s="249"/>
      <c r="AQ154" s="249"/>
      <c r="AR154" s="249"/>
      <c r="AS154" s="249"/>
      <c r="AT154" s="249">
        <v>27780</v>
      </c>
      <c r="AU154" s="249">
        <f t="shared" si="12"/>
        <v>27780</v>
      </c>
      <c r="AV154" s="269">
        <f t="shared" si="13"/>
        <v>27780</v>
      </c>
      <c r="AW154" s="269">
        <f t="shared" si="14"/>
        <v>0</v>
      </c>
    </row>
    <row r="155" spans="2:49" s="140" customFormat="1" ht="22.5" x14ac:dyDescent="0.25">
      <c r="B155" s="227">
        <v>139</v>
      </c>
      <c r="C155" s="227" t="s">
        <v>39</v>
      </c>
      <c r="D155" s="28">
        <v>40008164</v>
      </c>
      <c r="E155" s="247" t="s">
        <v>1425</v>
      </c>
      <c r="F155" s="247" t="s">
        <v>54</v>
      </c>
      <c r="G155" s="229" t="s">
        <v>1237</v>
      </c>
      <c r="H155" s="247" t="s">
        <v>1353</v>
      </c>
      <c r="I155" s="247" t="s">
        <v>57</v>
      </c>
      <c r="J155" s="248">
        <v>273313</v>
      </c>
      <c r="K155" s="248">
        <v>3310</v>
      </c>
      <c r="L155" s="248">
        <f t="shared" si="10"/>
        <v>270003</v>
      </c>
      <c r="M155" s="249"/>
      <c r="N155" s="249"/>
      <c r="O155" s="249">
        <v>221406.81099999999</v>
      </c>
      <c r="P155" s="249"/>
      <c r="Q155" s="249"/>
      <c r="R155" s="249"/>
      <c r="S155" s="249"/>
      <c r="T155" s="249"/>
      <c r="U155" s="249"/>
      <c r="V155" s="249"/>
      <c r="W155" s="249"/>
      <c r="X155" s="249"/>
      <c r="Y155" s="249">
        <f t="shared" si="11"/>
        <v>221406.81099999999</v>
      </c>
      <c r="Z155" s="249">
        <v>270003</v>
      </c>
      <c r="AA155" s="249" t="s">
        <v>1422</v>
      </c>
      <c r="AB155" s="250">
        <v>44225</v>
      </c>
      <c r="AC155" s="251">
        <v>44243</v>
      </c>
      <c r="AD155" s="249"/>
      <c r="AE155" s="249"/>
      <c r="AF155" s="250"/>
      <c r="AG155" s="250"/>
      <c r="AH155" s="249"/>
      <c r="AI155" s="249"/>
      <c r="AJ155" s="250"/>
      <c r="AK155" s="249"/>
      <c r="AL155" s="249"/>
      <c r="AM155" s="249"/>
      <c r="AN155" s="249"/>
      <c r="AO155" s="249"/>
      <c r="AP155" s="249"/>
      <c r="AQ155" s="249"/>
      <c r="AR155" s="249"/>
      <c r="AS155" s="249"/>
      <c r="AT155" s="249">
        <v>270003</v>
      </c>
      <c r="AU155" s="249">
        <f t="shared" si="12"/>
        <v>48596.189000000013</v>
      </c>
      <c r="AV155" s="269">
        <f t="shared" si="13"/>
        <v>270003</v>
      </c>
      <c r="AW155" s="269">
        <f t="shared" si="14"/>
        <v>0</v>
      </c>
    </row>
    <row r="156" spans="2:49" s="140" customFormat="1" ht="22.5" x14ac:dyDescent="0.25">
      <c r="B156" s="227">
        <v>140</v>
      </c>
      <c r="C156" s="227" t="s">
        <v>39</v>
      </c>
      <c r="D156" s="28">
        <v>30486478</v>
      </c>
      <c r="E156" s="247" t="s">
        <v>1426</v>
      </c>
      <c r="F156" s="247" t="s">
        <v>54</v>
      </c>
      <c r="G156" s="229" t="s">
        <v>1237</v>
      </c>
      <c r="H156" s="247" t="s">
        <v>1237</v>
      </c>
      <c r="I156" s="247" t="s">
        <v>72</v>
      </c>
      <c r="J156" s="248">
        <v>1857523</v>
      </c>
      <c r="K156" s="248"/>
      <c r="L156" s="248">
        <f t="shared" si="10"/>
        <v>1857523</v>
      </c>
      <c r="M156" s="249"/>
      <c r="N156" s="249"/>
      <c r="O156" s="249">
        <v>92334.857999999993</v>
      </c>
      <c r="P156" s="249"/>
      <c r="Q156" s="249"/>
      <c r="R156" s="249"/>
      <c r="S156" s="249"/>
      <c r="T156" s="249"/>
      <c r="U156" s="249"/>
      <c r="V156" s="249"/>
      <c r="W156" s="249"/>
      <c r="X156" s="249"/>
      <c r="Y156" s="249">
        <f t="shared" si="11"/>
        <v>92334.857999999993</v>
      </c>
      <c r="Z156" s="249">
        <v>1618158</v>
      </c>
      <c r="AA156" s="249" t="s">
        <v>1422</v>
      </c>
      <c r="AB156" s="250">
        <v>44225</v>
      </c>
      <c r="AC156" s="251">
        <v>44243</v>
      </c>
      <c r="AD156" s="249"/>
      <c r="AE156" s="249"/>
      <c r="AF156" s="250"/>
      <c r="AG156" s="250"/>
      <c r="AH156" s="249"/>
      <c r="AI156" s="249"/>
      <c r="AJ156" s="250"/>
      <c r="AK156" s="249"/>
      <c r="AL156" s="249"/>
      <c r="AM156" s="249"/>
      <c r="AN156" s="249"/>
      <c r="AO156" s="249"/>
      <c r="AP156" s="249"/>
      <c r="AQ156" s="249"/>
      <c r="AR156" s="249"/>
      <c r="AS156" s="249"/>
      <c r="AT156" s="249">
        <v>1618158</v>
      </c>
      <c r="AU156" s="249">
        <f t="shared" si="12"/>
        <v>1525823.142</v>
      </c>
      <c r="AV156" s="269">
        <f t="shared" si="13"/>
        <v>1618158</v>
      </c>
      <c r="AW156" s="269">
        <f t="shared" si="14"/>
        <v>0</v>
      </c>
    </row>
    <row r="157" spans="2:49" s="140" customFormat="1" x14ac:dyDescent="0.25">
      <c r="B157" s="227">
        <v>141</v>
      </c>
      <c r="C157" s="227" t="s">
        <v>39</v>
      </c>
      <c r="D157" s="28">
        <v>40004699</v>
      </c>
      <c r="E157" s="247" t="s">
        <v>1427</v>
      </c>
      <c r="F157" s="247" t="s">
        <v>54</v>
      </c>
      <c r="G157" s="229" t="s">
        <v>1237</v>
      </c>
      <c r="H157" s="247" t="s">
        <v>1237</v>
      </c>
      <c r="I157" s="247" t="s">
        <v>72</v>
      </c>
      <c r="J157" s="248">
        <v>787657</v>
      </c>
      <c r="K157" s="248"/>
      <c r="L157" s="248">
        <f t="shared" si="10"/>
        <v>787657</v>
      </c>
      <c r="M157" s="249"/>
      <c r="N157" s="249"/>
      <c r="O157" s="249"/>
      <c r="P157" s="249"/>
      <c r="Q157" s="249"/>
      <c r="R157" s="249"/>
      <c r="S157" s="249"/>
      <c r="T157" s="249"/>
      <c r="U157" s="249"/>
      <c r="V157" s="249"/>
      <c r="W157" s="249"/>
      <c r="X157" s="249"/>
      <c r="Y157" s="249">
        <f t="shared" si="11"/>
        <v>0</v>
      </c>
      <c r="Z157" s="249">
        <v>5</v>
      </c>
      <c r="AA157" s="249" t="s">
        <v>1422</v>
      </c>
      <c r="AB157" s="250">
        <v>44225</v>
      </c>
      <c r="AC157" s="251">
        <v>44243</v>
      </c>
      <c r="AD157" s="249"/>
      <c r="AE157" s="249"/>
      <c r="AF157" s="250"/>
      <c r="AG157" s="250"/>
      <c r="AH157" s="249"/>
      <c r="AI157" s="249"/>
      <c r="AJ157" s="250"/>
      <c r="AK157" s="249"/>
      <c r="AL157" s="249"/>
      <c r="AM157" s="249"/>
      <c r="AN157" s="249"/>
      <c r="AO157" s="249"/>
      <c r="AP157" s="249"/>
      <c r="AQ157" s="249"/>
      <c r="AR157" s="249"/>
      <c r="AS157" s="249"/>
      <c r="AT157" s="249">
        <v>5</v>
      </c>
      <c r="AU157" s="249">
        <f t="shared" si="12"/>
        <v>5</v>
      </c>
      <c r="AV157" s="269">
        <f t="shared" si="13"/>
        <v>5</v>
      </c>
      <c r="AW157" s="269">
        <f t="shared" si="14"/>
        <v>0</v>
      </c>
    </row>
    <row r="158" spans="2:49" s="140" customFormat="1" ht="22.5" x14ac:dyDescent="0.25">
      <c r="B158" s="227">
        <v>142</v>
      </c>
      <c r="C158" s="227" t="s">
        <v>39</v>
      </c>
      <c r="D158" s="28">
        <v>40011611</v>
      </c>
      <c r="E158" s="247" t="s">
        <v>1428</v>
      </c>
      <c r="F158" s="247" t="s">
        <v>1256</v>
      </c>
      <c r="G158" s="229" t="s">
        <v>1237</v>
      </c>
      <c r="H158" s="247" t="s">
        <v>1341</v>
      </c>
      <c r="I158" s="247" t="s">
        <v>72</v>
      </c>
      <c r="J158" s="248">
        <v>86118</v>
      </c>
      <c r="K158" s="248"/>
      <c r="L158" s="248">
        <f t="shared" si="10"/>
        <v>86118</v>
      </c>
      <c r="M158" s="249"/>
      <c r="N158" s="249"/>
      <c r="O158" s="249"/>
      <c r="P158" s="249"/>
      <c r="Q158" s="249"/>
      <c r="R158" s="249"/>
      <c r="S158" s="249"/>
      <c r="T158" s="249"/>
      <c r="U158" s="249"/>
      <c r="V158" s="249"/>
      <c r="W158" s="249"/>
      <c r="X158" s="249"/>
      <c r="Y158" s="249">
        <f t="shared" si="11"/>
        <v>0</v>
      </c>
      <c r="Z158" s="249">
        <v>86118</v>
      </c>
      <c r="AA158" s="249" t="s">
        <v>1429</v>
      </c>
      <c r="AB158" s="250">
        <v>44222</v>
      </c>
      <c r="AC158" s="251">
        <v>44243</v>
      </c>
      <c r="AD158" s="249"/>
      <c r="AE158" s="249"/>
      <c r="AF158" s="250"/>
      <c r="AG158" s="250"/>
      <c r="AH158" s="249"/>
      <c r="AI158" s="249"/>
      <c r="AJ158" s="250"/>
      <c r="AK158" s="249"/>
      <c r="AL158" s="249"/>
      <c r="AM158" s="249"/>
      <c r="AN158" s="249"/>
      <c r="AO158" s="249"/>
      <c r="AP158" s="249"/>
      <c r="AQ158" s="249"/>
      <c r="AR158" s="249"/>
      <c r="AS158" s="249"/>
      <c r="AT158" s="249">
        <v>86118</v>
      </c>
      <c r="AU158" s="249">
        <f t="shared" si="12"/>
        <v>86118</v>
      </c>
      <c r="AV158" s="269">
        <f t="shared" si="13"/>
        <v>86118</v>
      </c>
      <c r="AW158" s="269">
        <f t="shared" si="14"/>
        <v>0</v>
      </c>
    </row>
    <row r="159" spans="2:49" s="140" customFormat="1" ht="22.5" x14ac:dyDescent="0.25">
      <c r="B159" s="227">
        <v>143</v>
      </c>
      <c r="C159" s="227" t="s">
        <v>39</v>
      </c>
      <c r="D159" s="28">
        <v>40008006</v>
      </c>
      <c r="E159" s="247" t="s">
        <v>1430</v>
      </c>
      <c r="F159" s="247" t="s">
        <v>1256</v>
      </c>
      <c r="G159" s="229" t="s">
        <v>1237</v>
      </c>
      <c r="H159" s="247" t="s">
        <v>1251</v>
      </c>
      <c r="I159" s="247" t="s">
        <v>72</v>
      </c>
      <c r="J159" s="248">
        <v>188516</v>
      </c>
      <c r="K159" s="248"/>
      <c r="L159" s="248">
        <f t="shared" si="10"/>
        <v>188516</v>
      </c>
      <c r="M159" s="249"/>
      <c r="N159" s="249"/>
      <c r="O159" s="249"/>
      <c r="P159" s="249"/>
      <c r="Q159" s="249"/>
      <c r="R159" s="249"/>
      <c r="S159" s="249"/>
      <c r="T159" s="249"/>
      <c r="U159" s="249"/>
      <c r="V159" s="249"/>
      <c r="W159" s="249"/>
      <c r="X159" s="249"/>
      <c r="Y159" s="249">
        <f t="shared" si="11"/>
        <v>0</v>
      </c>
      <c r="Z159" s="249">
        <v>188516</v>
      </c>
      <c r="AA159" s="249" t="s">
        <v>1429</v>
      </c>
      <c r="AB159" s="250">
        <v>44222</v>
      </c>
      <c r="AC159" s="251">
        <v>44243</v>
      </c>
      <c r="AD159" s="249"/>
      <c r="AE159" s="249"/>
      <c r="AF159" s="250"/>
      <c r="AG159" s="250"/>
      <c r="AH159" s="249"/>
      <c r="AI159" s="249"/>
      <c r="AJ159" s="250"/>
      <c r="AK159" s="249"/>
      <c r="AL159" s="249"/>
      <c r="AM159" s="249"/>
      <c r="AN159" s="249"/>
      <c r="AO159" s="249"/>
      <c r="AP159" s="249"/>
      <c r="AQ159" s="249"/>
      <c r="AR159" s="249"/>
      <c r="AS159" s="249"/>
      <c r="AT159" s="249">
        <v>188516</v>
      </c>
      <c r="AU159" s="249">
        <f t="shared" si="12"/>
        <v>188516</v>
      </c>
      <c r="AV159" s="269">
        <f t="shared" si="13"/>
        <v>188516</v>
      </c>
      <c r="AW159" s="269">
        <f t="shared" si="14"/>
        <v>0</v>
      </c>
    </row>
    <row r="160" spans="2:49" s="140" customFormat="1" ht="22.5" x14ac:dyDescent="0.25">
      <c r="B160" s="227">
        <v>144</v>
      </c>
      <c r="C160" s="227" t="s">
        <v>42</v>
      </c>
      <c r="D160" s="28">
        <v>40015002</v>
      </c>
      <c r="E160" s="247" t="s">
        <v>1431</v>
      </c>
      <c r="F160" s="247" t="s">
        <v>54</v>
      </c>
      <c r="G160" s="229" t="s">
        <v>1237</v>
      </c>
      <c r="H160" s="247" t="s">
        <v>1237</v>
      </c>
      <c r="I160" s="247" t="s">
        <v>72</v>
      </c>
      <c r="J160" s="248">
        <v>115661</v>
      </c>
      <c r="K160" s="248"/>
      <c r="L160" s="248">
        <f t="shared" si="10"/>
        <v>115661</v>
      </c>
      <c r="M160" s="249"/>
      <c r="N160" s="249"/>
      <c r="O160" s="249">
        <v>5512.5</v>
      </c>
      <c r="P160" s="249"/>
      <c r="Q160" s="249"/>
      <c r="R160" s="249"/>
      <c r="S160" s="249"/>
      <c r="T160" s="249"/>
      <c r="U160" s="249"/>
      <c r="V160" s="249"/>
      <c r="W160" s="249"/>
      <c r="X160" s="249"/>
      <c r="Y160" s="249">
        <f t="shared" si="11"/>
        <v>5512.5</v>
      </c>
      <c r="Z160" s="249">
        <v>31734</v>
      </c>
      <c r="AA160" s="249" t="s">
        <v>1429</v>
      </c>
      <c r="AB160" s="250">
        <v>44222</v>
      </c>
      <c r="AC160" s="251">
        <v>44243</v>
      </c>
      <c r="AD160" s="249"/>
      <c r="AE160" s="249"/>
      <c r="AF160" s="250"/>
      <c r="AG160" s="250"/>
      <c r="AH160" s="249"/>
      <c r="AI160" s="249"/>
      <c r="AJ160" s="250"/>
      <c r="AK160" s="249"/>
      <c r="AL160" s="249"/>
      <c r="AM160" s="249"/>
      <c r="AN160" s="249"/>
      <c r="AO160" s="249"/>
      <c r="AP160" s="249"/>
      <c r="AQ160" s="249"/>
      <c r="AR160" s="249"/>
      <c r="AS160" s="249"/>
      <c r="AT160" s="249">
        <v>31734</v>
      </c>
      <c r="AU160" s="249">
        <f t="shared" si="12"/>
        <v>26221.5</v>
      </c>
      <c r="AV160" s="269">
        <f t="shared" si="13"/>
        <v>31734</v>
      </c>
      <c r="AW160" s="269">
        <f t="shared" si="14"/>
        <v>0</v>
      </c>
    </row>
    <row r="161" spans="2:49" s="140" customFormat="1" ht="22.5" x14ac:dyDescent="0.25">
      <c r="B161" s="227">
        <v>145</v>
      </c>
      <c r="C161" s="227" t="s">
        <v>39</v>
      </c>
      <c r="D161" s="28">
        <v>30347822</v>
      </c>
      <c r="E161" s="247" t="s">
        <v>1432</v>
      </c>
      <c r="F161" s="247" t="s">
        <v>1256</v>
      </c>
      <c r="G161" s="229" t="s">
        <v>1237</v>
      </c>
      <c r="H161" s="247" t="s">
        <v>1300</v>
      </c>
      <c r="I161" s="247" t="s">
        <v>57</v>
      </c>
      <c r="J161" s="248">
        <v>185535</v>
      </c>
      <c r="K161" s="248">
        <v>164394</v>
      </c>
      <c r="L161" s="248">
        <f t="shared" si="10"/>
        <v>21141</v>
      </c>
      <c r="M161" s="249"/>
      <c r="N161" s="249"/>
      <c r="O161" s="249"/>
      <c r="P161" s="249"/>
      <c r="Q161" s="249"/>
      <c r="R161" s="249"/>
      <c r="S161" s="249"/>
      <c r="T161" s="249"/>
      <c r="U161" s="249"/>
      <c r="V161" s="249"/>
      <c r="W161" s="249"/>
      <c r="X161" s="249"/>
      <c r="Y161" s="249">
        <f t="shared" si="11"/>
        <v>0</v>
      </c>
      <c r="Z161" s="249">
        <v>21139</v>
      </c>
      <c r="AA161" s="249" t="s">
        <v>1433</v>
      </c>
      <c r="AB161" s="250">
        <v>44231</v>
      </c>
      <c r="AC161" s="251">
        <v>44251</v>
      </c>
      <c r="AD161" s="249"/>
      <c r="AE161" s="249"/>
      <c r="AF161" s="250"/>
      <c r="AG161" s="250"/>
      <c r="AH161" s="249"/>
      <c r="AI161" s="249"/>
      <c r="AJ161" s="250"/>
      <c r="AK161" s="249"/>
      <c r="AL161" s="249"/>
      <c r="AM161" s="249"/>
      <c r="AN161" s="249"/>
      <c r="AO161" s="249"/>
      <c r="AP161" s="249"/>
      <c r="AQ161" s="249"/>
      <c r="AR161" s="249"/>
      <c r="AS161" s="249"/>
      <c r="AT161" s="249">
        <v>21139</v>
      </c>
      <c r="AU161" s="249">
        <f t="shared" si="12"/>
        <v>21139</v>
      </c>
      <c r="AV161" s="269">
        <f t="shared" si="13"/>
        <v>21139</v>
      </c>
      <c r="AW161" s="269">
        <f t="shared" si="14"/>
        <v>0</v>
      </c>
    </row>
    <row r="162" spans="2:49" s="140" customFormat="1" x14ac:dyDescent="0.25">
      <c r="B162" s="227">
        <v>146</v>
      </c>
      <c r="C162" s="227" t="s">
        <v>39</v>
      </c>
      <c r="D162" s="28">
        <v>40000533</v>
      </c>
      <c r="E162" s="247" t="s">
        <v>1434</v>
      </c>
      <c r="F162" s="247" t="s">
        <v>1256</v>
      </c>
      <c r="G162" s="229" t="s">
        <v>1237</v>
      </c>
      <c r="H162" s="247" t="s">
        <v>1370</v>
      </c>
      <c r="I162" s="247" t="s">
        <v>57</v>
      </c>
      <c r="J162" s="248">
        <v>75633</v>
      </c>
      <c r="K162" s="248">
        <v>15141</v>
      </c>
      <c r="L162" s="248">
        <f t="shared" si="10"/>
        <v>60492</v>
      </c>
      <c r="M162" s="249"/>
      <c r="N162" s="249"/>
      <c r="O162" s="249"/>
      <c r="P162" s="249"/>
      <c r="Q162" s="249"/>
      <c r="R162" s="249"/>
      <c r="S162" s="249"/>
      <c r="T162" s="249"/>
      <c r="U162" s="249"/>
      <c r="V162" s="249"/>
      <c r="W162" s="249"/>
      <c r="X162" s="249"/>
      <c r="Y162" s="249">
        <f t="shared" si="11"/>
        <v>0</v>
      </c>
      <c r="Z162" s="249">
        <v>60492</v>
      </c>
      <c r="AA162" s="249" t="s">
        <v>1433</v>
      </c>
      <c r="AB162" s="250">
        <v>44231</v>
      </c>
      <c r="AC162" s="251">
        <v>44251</v>
      </c>
      <c r="AD162" s="249"/>
      <c r="AE162" s="249"/>
      <c r="AF162" s="250"/>
      <c r="AG162" s="250"/>
      <c r="AH162" s="249"/>
      <c r="AI162" s="249"/>
      <c r="AJ162" s="250"/>
      <c r="AK162" s="249"/>
      <c r="AL162" s="249"/>
      <c r="AM162" s="249"/>
      <c r="AN162" s="249"/>
      <c r="AO162" s="249"/>
      <c r="AP162" s="249"/>
      <c r="AQ162" s="249"/>
      <c r="AR162" s="249"/>
      <c r="AS162" s="249"/>
      <c r="AT162" s="249">
        <v>60492</v>
      </c>
      <c r="AU162" s="249">
        <f t="shared" si="12"/>
        <v>60492</v>
      </c>
      <c r="AV162" s="269">
        <f t="shared" si="13"/>
        <v>60492</v>
      </c>
      <c r="AW162" s="269">
        <f t="shared" si="14"/>
        <v>0</v>
      </c>
    </row>
    <row r="163" spans="2:49" s="140" customFormat="1" ht="22.5" x14ac:dyDescent="0.25">
      <c r="B163" s="227">
        <v>147</v>
      </c>
      <c r="C163" s="227" t="s">
        <v>39</v>
      </c>
      <c r="D163" s="28">
        <v>30465839</v>
      </c>
      <c r="E163" s="247" t="s">
        <v>1435</v>
      </c>
      <c r="F163" s="247" t="s">
        <v>1256</v>
      </c>
      <c r="G163" s="229" t="s">
        <v>1237</v>
      </c>
      <c r="H163" s="247" t="s">
        <v>1300</v>
      </c>
      <c r="I163" s="247" t="s">
        <v>57</v>
      </c>
      <c r="J163" s="248">
        <v>64129</v>
      </c>
      <c r="K163" s="248">
        <v>12932</v>
      </c>
      <c r="L163" s="248">
        <f t="shared" si="10"/>
        <v>51197</v>
      </c>
      <c r="M163" s="249"/>
      <c r="N163" s="249"/>
      <c r="O163" s="249"/>
      <c r="P163" s="249"/>
      <c r="Q163" s="249"/>
      <c r="R163" s="249"/>
      <c r="S163" s="249"/>
      <c r="T163" s="249"/>
      <c r="U163" s="249"/>
      <c r="V163" s="249"/>
      <c r="W163" s="249"/>
      <c r="X163" s="249"/>
      <c r="Y163" s="249">
        <f t="shared" si="11"/>
        <v>0</v>
      </c>
      <c r="Z163" s="249">
        <v>51197</v>
      </c>
      <c r="AA163" s="249" t="s">
        <v>1433</v>
      </c>
      <c r="AB163" s="250">
        <v>44231</v>
      </c>
      <c r="AC163" s="251">
        <v>44251</v>
      </c>
      <c r="AD163" s="249"/>
      <c r="AE163" s="249"/>
      <c r="AF163" s="250"/>
      <c r="AG163" s="250"/>
      <c r="AH163" s="249"/>
      <c r="AI163" s="249"/>
      <c r="AJ163" s="250"/>
      <c r="AK163" s="249"/>
      <c r="AL163" s="249"/>
      <c r="AM163" s="249"/>
      <c r="AN163" s="249"/>
      <c r="AO163" s="249"/>
      <c r="AP163" s="249"/>
      <c r="AQ163" s="249"/>
      <c r="AR163" s="249"/>
      <c r="AS163" s="249"/>
      <c r="AT163" s="249">
        <v>51197</v>
      </c>
      <c r="AU163" s="249">
        <f t="shared" si="12"/>
        <v>51197</v>
      </c>
      <c r="AV163" s="269">
        <f t="shared" si="13"/>
        <v>51197</v>
      </c>
      <c r="AW163" s="269">
        <f t="shared" si="14"/>
        <v>0</v>
      </c>
    </row>
    <row r="164" spans="2:49" s="140" customFormat="1" ht="22.5" x14ac:dyDescent="0.25">
      <c r="B164" s="227">
        <v>148</v>
      </c>
      <c r="C164" s="227" t="s">
        <v>39</v>
      </c>
      <c r="D164" s="28">
        <v>40000301</v>
      </c>
      <c r="E164" s="247" t="s">
        <v>1436</v>
      </c>
      <c r="F164" s="247" t="s">
        <v>1256</v>
      </c>
      <c r="G164" s="229" t="s">
        <v>1237</v>
      </c>
      <c r="H164" s="247" t="s">
        <v>1288</v>
      </c>
      <c r="I164" s="247" t="s">
        <v>57</v>
      </c>
      <c r="J164" s="248">
        <v>31633</v>
      </c>
      <c r="K164" s="248">
        <v>22363</v>
      </c>
      <c r="L164" s="248">
        <f t="shared" si="10"/>
        <v>9270</v>
      </c>
      <c r="M164" s="249"/>
      <c r="N164" s="249">
        <v>9270</v>
      </c>
      <c r="O164" s="249"/>
      <c r="P164" s="249"/>
      <c r="Q164" s="249"/>
      <c r="R164" s="249"/>
      <c r="S164" s="249"/>
      <c r="T164" s="249"/>
      <c r="U164" s="249"/>
      <c r="V164" s="249"/>
      <c r="W164" s="249"/>
      <c r="X164" s="249"/>
      <c r="Y164" s="249">
        <f t="shared" si="11"/>
        <v>9270</v>
      </c>
      <c r="Z164" s="249">
        <v>9270</v>
      </c>
      <c r="AA164" s="249" t="s">
        <v>1433</v>
      </c>
      <c r="AB164" s="250">
        <v>44231</v>
      </c>
      <c r="AC164" s="251">
        <v>44251</v>
      </c>
      <c r="AD164" s="249"/>
      <c r="AE164" s="249"/>
      <c r="AF164" s="250"/>
      <c r="AG164" s="250"/>
      <c r="AH164" s="249"/>
      <c r="AI164" s="249"/>
      <c r="AJ164" s="250"/>
      <c r="AK164" s="249"/>
      <c r="AL164" s="249"/>
      <c r="AM164" s="249"/>
      <c r="AN164" s="249"/>
      <c r="AO164" s="249"/>
      <c r="AP164" s="249"/>
      <c r="AQ164" s="249"/>
      <c r="AR164" s="249"/>
      <c r="AS164" s="249"/>
      <c r="AT164" s="249">
        <v>9270</v>
      </c>
      <c r="AU164" s="249">
        <f t="shared" si="12"/>
        <v>0</v>
      </c>
      <c r="AV164" s="269">
        <f t="shared" si="13"/>
        <v>9270</v>
      </c>
      <c r="AW164" s="269">
        <f t="shared" si="14"/>
        <v>0</v>
      </c>
    </row>
    <row r="165" spans="2:49" s="140" customFormat="1" ht="22.5" x14ac:dyDescent="0.25">
      <c r="B165" s="227">
        <v>149</v>
      </c>
      <c r="C165" s="227" t="s">
        <v>39</v>
      </c>
      <c r="D165" s="28">
        <v>30314472</v>
      </c>
      <c r="E165" s="247" t="s">
        <v>1437</v>
      </c>
      <c r="F165" s="247" t="s">
        <v>1256</v>
      </c>
      <c r="G165" s="229" t="s">
        <v>1237</v>
      </c>
      <c r="H165" s="247" t="s">
        <v>1237</v>
      </c>
      <c r="I165" s="247" t="s">
        <v>57</v>
      </c>
      <c r="J165" s="248">
        <v>42717</v>
      </c>
      <c r="K165" s="248">
        <v>21438</v>
      </c>
      <c r="L165" s="248">
        <f t="shared" si="10"/>
        <v>21279</v>
      </c>
      <c r="M165" s="249"/>
      <c r="N165" s="249"/>
      <c r="O165" s="249"/>
      <c r="P165" s="249"/>
      <c r="Q165" s="249"/>
      <c r="R165" s="249"/>
      <c r="S165" s="249"/>
      <c r="T165" s="249"/>
      <c r="U165" s="249"/>
      <c r="V165" s="249"/>
      <c r="W165" s="249"/>
      <c r="X165" s="249"/>
      <c r="Y165" s="249">
        <f t="shared" si="11"/>
        <v>0</v>
      </c>
      <c r="Z165" s="249">
        <v>20743</v>
      </c>
      <c r="AA165" s="249" t="s">
        <v>1433</v>
      </c>
      <c r="AB165" s="250">
        <v>44231</v>
      </c>
      <c r="AC165" s="251">
        <v>44251</v>
      </c>
      <c r="AD165" s="249"/>
      <c r="AE165" s="249"/>
      <c r="AF165" s="250"/>
      <c r="AG165" s="250"/>
      <c r="AH165" s="249"/>
      <c r="AI165" s="249"/>
      <c r="AJ165" s="250"/>
      <c r="AK165" s="249"/>
      <c r="AL165" s="249"/>
      <c r="AM165" s="249"/>
      <c r="AN165" s="249"/>
      <c r="AO165" s="249"/>
      <c r="AP165" s="249"/>
      <c r="AQ165" s="249"/>
      <c r="AR165" s="249"/>
      <c r="AS165" s="249"/>
      <c r="AT165" s="249">
        <v>20743</v>
      </c>
      <c r="AU165" s="249">
        <f t="shared" si="12"/>
        <v>20743</v>
      </c>
      <c r="AV165" s="269">
        <f t="shared" si="13"/>
        <v>20743</v>
      </c>
      <c r="AW165" s="269">
        <f t="shared" si="14"/>
        <v>0</v>
      </c>
    </row>
    <row r="166" spans="2:49" s="140" customFormat="1" ht="22.5" x14ac:dyDescent="0.25">
      <c r="B166" s="227">
        <v>150</v>
      </c>
      <c r="C166" s="227" t="s">
        <v>39</v>
      </c>
      <c r="D166" s="28">
        <v>40003274</v>
      </c>
      <c r="E166" s="247" t="s">
        <v>1438</v>
      </c>
      <c r="F166" s="247" t="s">
        <v>1256</v>
      </c>
      <c r="G166" s="229" t="s">
        <v>1237</v>
      </c>
      <c r="H166" s="247" t="s">
        <v>1370</v>
      </c>
      <c r="I166" s="247" t="s">
        <v>57</v>
      </c>
      <c r="J166" s="248">
        <v>36303</v>
      </c>
      <c r="K166" s="248">
        <v>10732</v>
      </c>
      <c r="L166" s="248">
        <f t="shared" si="10"/>
        <v>25571</v>
      </c>
      <c r="M166" s="249"/>
      <c r="N166" s="249"/>
      <c r="O166" s="249"/>
      <c r="P166" s="249"/>
      <c r="Q166" s="249"/>
      <c r="R166" s="249"/>
      <c r="S166" s="249"/>
      <c r="T166" s="249"/>
      <c r="U166" s="249"/>
      <c r="V166" s="249"/>
      <c r="W166" s="249"/>
      <c r="X166" s="249"/>
      <c r="Y166" s="249">
        <f t="shared" si="11"/>
        <v>0</v>
      </c>
      <c r="Z166" s="249">
        <v>25571</v>
      </c>
      <c r="AA166" s="249" t="s">
        <v>1433</v>
      </c>
      <c r="AB166" s="250">
        <v>44231</v>
      </c>
      <c r="AC166" s="251">
        <v>44251</v>
      </c>
      <c r="AD166" s="249"/>
      <c r="AE166" s="249"/>
      <c r="AF166" s="250"/>
      <c r="AG166" s="250"/>
      <c r="AH166" s="249"/>
      <c r="AI166" s="249"/>
      <c r="AJ166" s="250"/>
      <c r="AK166" s="249"/>
      <c r="AL166" s="249"/>
      <c r="AM166" s="249"/>
      <c r="AN166" s="249"/>
      <c r="AO166" s="249"/>
      <c r="AP166" s="249"/>
      <c r="AQ166" s="249"/>
      <c r="AR166" s="249"/>
      <c r="AS166" s="249"/>
      <c r="AT166" s="249">
        <v>25571</v>
      </c>
      <c r="AU166" s="249">
        <f t="shared" si="12"/>
        <v>25571</v>
      </c>
      <c r="AV166" s="269">
        <f t="shared" si="13"/>
        <v>25571</v>
      </c>
      <c r="AW166" s="269">
        <f t="shared" si="14"/>
        <v>0</v>
      </c>
    </row>
    <row r="167" spans="2:49" s="140" customFormat="1" ht="22.5" x14ac:dyDescent="0.25">
      <c r="B167" s="227">
        <v>151</v>
      </c>
      <c r="C167" s="227" t="s">
        <v>39</v>
      </c>
      <c r="D167" s="28">
        <v>40004673</v>
      </c>
      <c r="E167" s="247" t="s">
        <v>1439</v>
      </c>
      <c r="F167" s="247" t="s">
        <v>1256</v>
      </c>
      <c r="G167" s="229" t="s">
        <v>1237</v>
      </c>
      <c r="H167" s="247" t="s">
        <v>1370</v>
      </c>
      <c r="I167" s="247" t="s">
        <v>57</v>
      </c>
      <c r="J167" s="248">
        <v>28432</v>
      </c>
      <c r="K167" s="248">
        <v>8400</v>
      </c>
      <c r="L167" s="248">
        <f t="shared" si="10"/>
        <v>20032</v>
      </c>
      <c r="M167" s="249"/>
      <c r="N167" s="249"/>
      <c r="O167" s="249"/>
      <c r="P167" s="249"/>
      <c r="Q167" s="249"/>
      <c r="R167" s="249"/>
      <c r="S167" s="249"/>
      <c r="T167" s="249"/>
      <c r="U167" s="249"/>
      <c r="V167" s="249"/>
      <c r="W167" s="249"/>
      <c r="X167" s="249"/>
      <c r="Y167" s="249">
        <f t="shared" si="11"/>
        <v>0</v>
      </c>
      <c r="Z167" s="249">
        <v>20032</v>
      </c>
      <c r="AA167" s="249" t="s">
        <v>1433</v>
      </c>
      <c r="AB167" s="250">
        <v>44231</v>
      </c>
      <c r="AC167" s="251">
        <v>44251</v>
      </c>
      <c r="AD167" s="249"/>
      <c r="AE167" s="249"/>
      <c r="AF167" s="250"/>
      <c r="AG167" s="250"/>
      <c r="AH167" s="249"/>
      <c r="AI167" s="249"/>
      <c r="AJ167" s="250"/>
      <c r="AK167" s="249"/>
      <c r="AL167" s="249"/>
      <c r="AM167" s="249"/>
      <c r="AN167" s="249"/>
      <c r="AO167" s="249"/>
      <c r="AP167" s="249"/>
      <c r="AQ167" s="249"/>
      <c r="AR167" s="249"/>
      <c r="AS167" s="249"/>
      <c r="AT167" s="249">
        <v>20032</v>
      </c>
      <c r="AU167" s="249">
        <f t="shared" si="12"/>
        <v>20032</v>
      </c>
      <c r="AV167" s="269">
        <f t="shared" si="13"/>
        <v>20032</v>
      </c>
      <c r="AW167" s="269">
        <f t="shared" si="14"/>
        <v>0</v>
      </c>
    </row>
    <row r="168" spans="2:49" s="140" customFormat="1" ht="22.5" x14ac:dyDescent="0.25">
      <c r="B168" s="227">
        <v>152</v>
      </c>
      <c r="C168" s="227" t="s">
        <v>39</v>
      </c>
      <c r="D168" s="28">
        <v>40003945</v>
      </c>
      <c r="E168" s="247" t="s">
        <v>1440</v>
      </c>
      <c r="F168" s="247" t="s">
        <v>1256</v>
      </c>
      <c r="G168" s="229" t="s">
        <v>1237</v>
      </c>
      <c r="H168" s="247" t="s">
        <v>1370</v>
      </c>
      <c r="I168" s="247" t="s">
        <v>57</v>
      </c>
      <c r="J168" s="248">
        <v>21561</v>
      </c>
      <c r="K168" s="248">
        <v>6076</v>
      </c>
      <c r="L168" s="248">
        <f t="shared" si="10"/>
        <v>15485</v>
      </c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>
        <f t="shared" si="11"/>
        <v>0</v>
      </c>
      <c r="Z168" s="249">
        <v>15485</v>
      </c>
      <c r="AA168" s="249" t="s">
        <v>1433</v>
      </c>
      <c r="AB168" s="250">
        <v>44231</v>
      </c>
      <c r="AC168" s="251">
        <v>44251</v>
      </c>
      <c r="AD168" s="249"/>
      <c r="AE168" s="249"/>
      <c r="AF168" s="250"/>
      <c r="AG168" s="250"/>
      <c r="AH168" s="249"/>
      <c r="AI168" s="249"/>
      <c r="AJ168" s="250"/>
      <c r="AK168" s="249"/>
      <c r="AL168" s="249"/>
      <c r="AM168" s="249"/>
      <c r="AN168" s="249"/>
      <c r="AO168" s="249"/>
      <c r="AP168" s="249"/>
      <c r="AQ168" s="249"/>
      <c r="AR168" s="249"/>
      <c r="AS168" s="249"/>
      <c r="AT168" s="249">
        <v>15485</v>
      </c>
      <c r="AU168" s="249">
        <f t="shared" si="12"/>
        <v>15485</v>
      </c>
      <c r="AV168" s="269">
        <f t="shared" si="13"/>
        <v>15485</v>
      </c>
      <c r="AW168" s="269">
        <f t="shared" si="14"/>
        <v>0</v>
      </c>
    </row>
    <row r="169" spans="2:49" s="140" customFormat="1" ht="22.5" x14ac:dyDescent="0.25">
      <c r="B169" s="227">
        <v>153</v>
      </c>
      <c r="C169" s="227" t="s">
        <v>39</v>
      </c>
      <c r="D169" s="28">
        <v>40002634</v>
      </c>
      <c r="E169" s="247" t="s">
        <v>1441</v>
      </c>
      <c r="F169" s="247" t="s">
        <v>1256</v>
      </c>
      <c r="G169" s="229" t="s">
        <v>1237</v>
      </c>
      <c r="H169" s="247" t="s">
        <v>1370</v>
      </c>
      <c r="I169" s="247" t="s">
        <v>57</v>
      </c>
      <c r="J169" s="248">
        <v>19188</v>
      </c>
      <c r="K169" s="248">
        <v>5517</v>
      </c>
      <c r="L169" s="248">
        <f t="shared" si="10"/>
        <v>13671</v>
      </c>
      <c r="M169" s="249"/>
      <c r="N169" s="249"/>
      <c r="O169" s="249"/>
      <c r="P169" s="249"/>
      <c r="Q169" s="249"/>
      <c r="R169" s="249"/>
      <c r="S169" s="249"/>
      <c r="T169" s="249"/>
      <c r="U169" s="249"/>
      <c r="V169" s="249"/>
      <c r="W169" s="249"/>
      <c r="X169" s="249"/>
      <c r="Y169" s="249">
        <f t="shared" si="11"/>
        <v>0</v>
      </c>
      <c r="Z169" s="249">
        <v>13671</v>
      </c>
      <c r="AA169" s="249" t="s">
        <v>1433</v>
      </c>
      <c r="AB169" s="250">
        <v>44231</v>
      </c>
      <c r="AC169" s="251">
        <v>44251</v>
      </c>
      <c r="AD169" s="249"/>
      <c r="AE169" s="249"/>
      <c r="AF169" s="250"/>
      <c r="AG169" s="250"/>
      <c r="AH169" s="249"/>
      <c r="AI169" s="249"/>
      <c r="AJ169" s="250"/>
      <c r="AK169" s="249"/>
      <c r="AL169" s="249"/>
      <c r="AM169" s="249"/>
      <c r="AN169" s="249"/>
      <c r="AO169" s="249"/>
      <c r="AP169" s="249"/>
      <c r="AQ169" s="249"/>
      <c r="AR169" s="249"/>
      <c r="AS169" s="249"/>
      <c r="AT169" s="249">
        <v>13671</v>
      </c>
      <c r="AU169" s="249">
        <f t="shared" si="12"/>
        <v>13671</v>
      </c>
      <c r="AV169" s="269">
        <f t="shared" si="13"/>
        <v>13671</v>
      </c>
      <c r="AW169" s="269">
        <f t="shared" si="14"/>
        <v>0</v>
      </c>
    </row>
    <row r="170" spans="2:49" s="140" customFormat="1" x14ac:dyDescent="0.25">
      <c r="B170" s="227">
        <v>154</v>
      </c>
      <c r="C170" s="227" t="s">
        <v>39</v>
      </c>
      <c r="D170" s="28">
        <v>30078622</v>
      </c>
      <c r="E170" s="247" t="s">
        <v>1442</v>
      </c>
      <c r="F170" s="247" t="s">
        <v>54</v>
      </c>
      <c r="G170" s="229" t="s">
        <v>1237</v>
      </c>
      <c r="H170" s="247" t="s">
        <v>1300</v>
      </c>
      <c r="I170" s="247" t="s">
        <v>57</v>
      </c>
      <c r="J170" s="248">
        <v>1029752</v>
      </c>
      <c r="K170" s="248">
        <v>1019751</v>
      </c>
      <c r="L170" s="248">
        <f t="shared" si="10"/>
        <v>10001</v>
      </c>
      <c r="M170" s="249"/>
      <c r="N170" s="249"/>
      <c r="O170" s="249"/>
      <c r="P170" s="249"/>
      <c r="Q170" s="249"/>
      <c r="R170" s="249"/>
      <c r="S170" s="249"/>
      <c r="T170" s="249"/>
      <c r="U170" s="249"/>
      <c r="V170" s="249"/>
      <c r="W170" s="249"/>
      <c r="X170" s="249"/>
      <c r="Y170" s="249">
        <f t="shared" si="11"/>
        <v>0</v>
      </c>
      <c r="Z170" s="249">
        <v>10000</v>
      </c>
      <c r="AA170" s="249" t="s">
        <v>1433</v>
      </c>
      <c r="AB170" s="250">
        <v>44231</v>
      </c>
      <c r="AC170" s="251">
        <v>44251</v>
      </c>
      <c r="AD170" s="249"/>
      <c r="AE170" s="249"/>
      <c r="AF170" s="250"/>
      <c r="AG170" s="250"/>
      <c r="AH170" s="249"/>
      <c r="AI170" s="249"/>
      <c r="AJ170" s="250"/>
      <c r="AK170" s="249"/>
      <c r="AL170" s="249"/>
      <c r="AM170" s="249"/>
      <c r="AN170" s="249"/>
      <c r="AO170" s="249"/>
      <c r="AP170" s="249"/>
      <c r="AQ170" s="249"/>
      <c r="AR170" s="249"/>
      <c r="AS170" s="249"/>
      <c r="AT170" s="249">
        <v>10000</v>
      </c>
      <c r="AU170" s="249">
        <f t="shared" si="12"/>
        <v>10000</v>
      </c>
      <c r="AV170" s="269">
        <f t="shared" si="13"/>
        <v>10000</v>
      </c>
      <c r="AW170" s="269">
        <f t="shared" si="14"/>
        <v>0</v>
      </c>
    </row>
    <row r="171" spans="2:49" s="140" customFormat="1" ht="22.5" x14ac:dyDescent="0.25">
      <c r="B171" s="227">
        <v>155</v>
      </c>
      <c r="C171" s="227" t="s">
        <v>39</v>
      </c>
      <c r="D171" s="28">
        <v>30379328</v>
      </c>
      <c r="E171" s="247" t="s">
        <v>1443</v>
      </c>
      <c r="F171" s="247" t="s">
        <v>54</v>
      </c>
      <c r="G171" s="229" t="s">
        <v>1237</v>
      </c>
      <c r="H171" s="247" t="s">
        <v>1238</v>
      </c>
      <c r="I171" s="247" t="s">
        <v>57</v>
      </c>
      <c r="J171" s="248">
        <v>3442349</v>
      </c>
      <c r="K171" s="248">
        <v>2498837</v>
      </c>
      <c r="L171" s="248">
        <f t="shared" si="10"/>
        <v>943512</v>
      </c>
      <c r="M171" s="249"/>
      <c r="N171" s="249"/>
      <c r="O171" s="249"/>
      <c r="P171" s="249"/>
      <c r="Q171" s="249"/>
      <c r="R171" s="249"/>
      <c r="S171" s="249"/>
      <c r="T171" s="249"/>
      <c r="U171" s="249"/>
      <c r="V171" s="249"/>
      <c r="W171" s="249"/>
      <c r="X171" s="249"/>
      <c r="Y171" s="249">
        <f t="shared" si="11"/>
        <v>0</v>
      </c>
      <c r="Z171" s="249">
        <v>618382</v>
      </c>
      <c r="AA171" s="249" t="s">
        <v>1433</v>
      </c>
      <c r="AB171" s="250">
        <v>44231</v>
      </c>
      <c r="AC171" s="251">
        <v>44251</v>
      </c>
      <c r="AD171" s="249"/>
      <c r="AE171" s="249"/>
      <c r="AF171" s="250"/>
      <c r="AG171" s="250"/>
      <c r="AH171" s="249"/>
      <c r="AI171" s="249"/>
      <c r="AJ171" s="250"/>
      <c r="AK171" s="249"/>
      <c r="AL171" s="249"/>
      <c r="AM171" s="249"/>
      <c r="AN171" s="249"/>
      <c r="AO171" s="249"/>
      <c r="AP171" s="249"/>
      <c r="AQ171" s="249"/>
      <c r="AR171" s="249"/>
      <c r="AS171" s="249"/>
      <c r="AT171" s="249">
        <v>618382</v>
      </c>
      <c r="AU171" s="249">
        <f t="shared" si="12"/>
        <v>618382</v>
      </c>
      <c r="AV171" s="269">
        <f t="shared" si="13"/>
        <v>618382</v>
      </c>
      <c r="AW171" s="269">
        <f t="shared" si="14"/>
        <v>0</v>
      </c>
    </row>
    <row r="172" spans="2:49" s="140" customFormat="1" x14ac:dyDescent="0.25">
      <c r="B172" s="227">
        <v>156</v>
      </c>
      <c r="C172" s="227" t="s">
        <v>39</v>
      </c>
      <c r="D172" s="28">
        <v>30470587</v>
      </c>
      <c r="E172" s="247" t="s">
        <v>1444</v>
      </c>
      <c r="F172" s="247" t="s">
        <v>54</v>
      </c>
      <c r="G172" s="229" t="s">
        <v>1237</v>
      </c>
      <c r="H172" s="247" t="s">
        <v>1242</v>
      </c>
      <c r="I172" s="247" t="s">
        <v>72</v>
      </c>
      <c r="J172" s="248">
        <v>1129340</v>
      </c>
      <c r="K172" s="248"/>
      <c r="L172" s="248">
        <f t="shared" si="10"/>
        <v>1129340</v>
      </c>
      <c r="M172" s="249"/>
      <c r="N172" s="249"/>
      <c r="O172" s="249"/>
      <c r="P172" s="249"/>
      <c r="Q172" s="249"/>
      <c r="R172" s="249"/>
      <c r="S172" s="249"/>
      <c r="T172" s="249"/>
      <c r="U172" s="249"/>
      <c r="V172" s="249"/>
      <c r="W172" s="249"/>
      <c r="X172" s="249"/>
      <c r="Y172" s="249">
        <f t="shared" si="11"/>
        <v>0</v>
      </c>
      <c r="Z172" s="249">
        <v>291812</v>
      </c>
      <c r="AA172" s="249" t="s">
        <v>1433</v>
      </c>
      <c r="AB172" s="250">
        <v>44231</v>
      </c>
      <c r="AC172" s="251">
        <v>44251</v>
      </c>
      <c r="AD172" s="249"/>
      <c r="AE172" s="249"/>
      <c r="AF172" s="250"/>
      <c r="AG172" s="250"/>
      <c r="AH172" s="249"/>
      <c r="AI172" s="249"/>
      <c r="AJ172" s="250"/>
      <c r="AK172" s="249"/>
      <c r="AL172" s="249"/>
      <c r="AM172" s="249"/>
      <c r="AN172" s="249"/>
      <c r="AO172" s="249"/>
      <c r="AP172" s="249"/>
      <c r="AQ172" s="249"/>
      <c r="AR172" s="249"/>
      <c r="AS172" s="249"/>
      <c r="AT172" s="249">
        <v>291812</v>
      </c>
      <c r="AU172" s="249">
        <f t="shared" si="12"/>
        <v>291812</v>
      </c>
      <c r="AV172" s="269">
        <f t="shared" si="13"/>
        <v>291812</v>
      </c>
      <c r="AW172" s="269">
        <f t="shared" si="14"/>
        <v>0</v>
      </c>
    </row>
    <row r="173" spans="2:49" s="140" customFormat="1" x14ac:dyDescent="0.25">
      <c r="B173" s="227">
        <v>157</v>
      </c>
      <c r="C173" s="227" t="s">
        <v>39</v>
      </c>
      <c r="D173" s="28">
        <v>30105536</v>
      </c>
      <c r="E173" s="247" t="s">
        <v>1445</v>
      </c>
      <c r="F173" s="247" t="s">
        <v>54</v>
      </c>
      <c r="G173" s="229" t="s">
        <v>1237</v>
      </c>
      <c r="H173" s="247" t="s">
        <v>1237</v>
      </c>
      <c r="I173" s="247" t="s">
        <v>57</v>
      </c>
      <c r="J173" s="248">
        <v>1864970</v>
      </c>
      <c r="K173" s="248">
        <v>1716490</v>
      </c>
      <c r="L173" s="248">
        <f t="shared" si="10"/>
        <v>148480</v>
      </c>
      <c r="M173" s="249"/>
      <c r="N173" s="249"/>
      <c r="O173" s="249"/>
      <c r="P173" s="249"/>
      <c r="Q173" s="249"/>
      <c r="R173" s="249"/>
      <c r="S173" s="249"/>
      <c r="T173" s="249"/>
      <c r="U173" s="249"/>
      <c r="V173" s="249"/>
      <c r="W173" s="249"/>
      <c r="X173" s="249"/>
      <c r="Y173" s="249">
        <f t="shared" si="11"/>
        <v>0</v>
      </c>
      <c r="Z173" s="249">
        <v>148480</v>
      </c>
      <c r="AA173" s="249" t="s">
        <v>1433</v>
      </c>
      <c r="AB173" s="250">
        <v>44231</v>
      </c>
      <c r="AC173" s="251">
        <v>44251</v>
      </c>
      <c r="AD173" s="249"/>
      <c r="AE173" s="249"/>
      <c r="AF173" s="250"/>
      <c r="AG173" s="250"/>
      <c r="AH173" s="249"/>
      <c r="AI173" s="249"/>
      <c r="AJ173" s="250"/>
      <c r="AK173" s="249"/>
      <c r="AL173" s="249"/>
      <c r="AM173" s="249"/>
      <c r="AN173" s="249"/>
      <c r="AO173" s="249"/>
      <c r="AP173" s="249"/>
      <c r="AQ173" s="249"/>
      <c r="AR173" s="249"/>
      <c r="AS173" s="249"/>
      <c r="AT173" s="249">
        <v>148480</v>
      </c>
      <c r="AU173" s="249">
        <f t="shared" si="12"/>
        <v>148480</v>
      </c>
      <c r="AV173" s="269">
        <f t="shared" si="13"/>
        <v>148480</v>
      </c>
      <c r="AW173" s="269">
        <f t="shared" si="14"/>
        <v>0</v>
      </c>
    </row>
    <row r="174" spans="2:49" s="140" customFormat="1" ht="22.5" x14ac:dyDescent="0.25">
      <c r="B174" s="227">
        <v>158</v>
      </c>
      <c r="C174" s="227" t="s">
        <v>39</v>
      </c>
      <c r="D174" s="28">
        <v>30132830</v>
      </c>
      <c r="E174" s="247" t="s">
        <v>1446</v>
      </c>
      <c r="F174" s="247" t="s">
        <v>54</v>
      </c>
      <c r="G174" s="229" t="s">
        <v>1237</v>
      </c>
      <c r="H174" s="247" t="s">
        <v>1251</v>
      </c>
      <c r="I174" s="247" t="s">
        <v>57</v>
      </c>
      <c r="J174" s="248">
        <v>624505</v>
      </c>
      <c r="K174" s="248">
        <v>459705</v>
      </c>
      <c r="L174" s="248">
        <f t="shared" si="10"/>
        <v>164800</v>
      </c>
      <c r="M174" s="249"/>
      <c r="N174" s="249"/>
      <c r="O174" s="249"/>
      <c r="P174" s="249"/>
      <c r="Q174" s="249"/>
      <c r="R174" s="249"/>
      <c r="S174" s="249"/>
      <c r="T174" s="249"/>
      <c r="U174" s="249"/>
      <c r="V174" s="249"/>
      <c r="W174" s="249"/>
      <c r="X174" s="249"/>
      <c r="Y174" s="249">
        <f t="shared" si="11"/>
        <v>0</v>
      </c>
      <c r="Z174" s="249">
        <v>164800</v>
      </c>
      <c r="AA174" s="249" t="s">
        <v>1433</v>
      </c>
      <c r="AB174" s="250">
        <v>44231</v>
      </c>
      <c r="AC174" s="251">
        <v>44251</v>
      </c>
      <c r="AD174" s="249"/>
      <c r="AE174" s="249"/>
      <c r="AF174" s="250"/>
      <c r="AG174" s="250"/>
      <c r="AH174" s="249"/>
      <c r="AI174" s="249"/>
      <c r="AJ174" s="250"/>
      <c r="AK174" s="249"/>
      <c r="AL174" s="249"/>
      <c r="AM174" s="249"/>
      <c r="AN174" s="249"/>
      <c r="AO174" s="249"/>
      <c r="AP174" s="249"/>
      <c r="AQ174" s="249"/>
      <c r="AR174" s="249"/>
      <c r="AS174" s="249"/>
      <c r="AT174" s="249">
        <v>164800</v>
      </c>
      <c r="AU174" s="249">
        <f t="shared" si="12"/>
        <v>164800</v>
      </c>
      <c r="AV174" s="269">
        <f t="shared" si="13"/>
        <v>164800</v>
      </c>
      <c r="AW174" s="269">
        <f t="shared" si="14"/>
        <v>0</v>
      </c>
    </row>
    <row r="175" spans="2:49" s="140" customFormat="1" ht="22.5" x14ac:dyDescent="0.25">
      <c r="B175" s="227">
        <v>159</v>
      </c>
      <c r="C175" s="227" t="s">
        <v>39</v>
      </c>
      <c r="D175" s="28">
        <v>30443027</v>
      </c>
      <c r="E175" s="247" t="s">
        <v>1447</v>
      </c>
      <c r="F175" s="247" t="s">
        <v>1256</v>
      </c>
      <c r="G175" s="229" t="s">
        <v>1237</v>
      </c>
      <c r="H175" s="247" t="s">
        <v>1237</v>
      </c>
      <c r="I175" s="247" t="s">
        <v>57</v>
      </c>
      <c r="J175" s="248">
        <v>180356</v>
      </c>
      <c r="K175" s="248">
        <v>91304</v>
      </c>
      <c r="L175" s="248">
        <f t="shared" si="10"/>
        <v>89052</v>
      </c>
      <c r="M175" s="249"/>
      <c r="N175" s="249"/>
      <c r="O175" s="249"/>
      <c r="P175" s="249"/>
      <c r="Q175" s="249"/>
      <c r="R175" s="249"/>
      <c r="S175" s="249"/>
      <c r="T175" s="249"/>
      <c r="U175" s="249"/>
      <c r="V175" s="249"/>
      <c r="W175" s="249"/>
      <c r="X175" s="249"/>
      <c r="Y175" s="249">
        <f t="shared" si="11"/>
        <v>0</v>
      </c>
      <c r="Z175" s="249">
        <v>89052</v>
      </c>
      <c r="AA175" s="249" t="s">
        <v>1433</v>
      </c>
      <c r="AB175" s="250">
        <v>44231</v>
      </c>
      <c r="AC175" s="251">
        <v>44251</v>
      </c>
      <c r="AD175" s="249"/>
      <c r="AE175" s="249"/>
      <c r="AF175" s="250"/>
      <c r="AG175" s="250"/>
      <c r="AH175" s="249"/>
      <c r="AI175" s="249"/>
      <c r="AJ175" s="250"/>
      <c r="AK175" s="249"/>
      <c r="AL175" s="249"/>
      <c r="AM175" s="249"/>
      <c r="AN175" s="249"/>
      <c r="AO175" s="249"/>
      <c r="AP175" s="249"/>
      <c r="AQ175" s="249"/>
      <c r="AR175" s="249"/>
      <c r="AS175" s="249"/>
      <c r="AT175" s="249">
        <v>89052</v>
      </c>
      <c r="AU175" s="249">
        <f t="shared" si="12"/>
        <v>89052</v>
      </c>
      <c r="AV175" s="269">
        <f t="shared" si="13"/>
        <v>89052</v>
      </c>
      <c r="AW175" s="269">
        <f t="shared" si="14"/>
        <v>0</v>
      </c>
    </row>
    <row r="176" spans="2:49" s="140" customFormat="1" x14ac:dyDescent="0.25">
      <c r="B176" s="227">
        <v>160</v>
      </c>
      <c r="C176" s="227" t="s">
        <v>39</v>
      </c>
      <c r="D176" s="28">
        <v>30452522</v>
      </c>
      <c r="E176" s="247" t="s">
        <v>1448</v>
      </c>
      <c r="F176" s="247" t="s">
        <v>54</v>
      </c>
      <c r="G176" s="229" t="s">
        <v>1237</v>
      </c>
      <c r="H176" s="247" t="s">
        <v>1312</v>
      </c>
      <c r="I176" s="247" t="s">
        <v>57</v>
      </c>
      <c r="J176" s="248">
        <v>565183</v>
      </c>
      <c r="K176" s="248">
        <v>489208</v>
      </c>
      <c r="L176" s="248">
        <f t="shared" si="10"/>
        <v>75975</v>
      </c>
      <c r="M176" s="249"/>
      <c r="N176" s="249"/>
      <c r="O176" s="249"/>
      <c r="P176" s="249"/>
      <c r="Q176" s="249"/>
      <c r="R176" s="249"/>
      <c r="S176" s="249"/>
      <c r="T176" s="249"/>
      <c r="U176" s="249"/>
      <c r="V176" s="249"/>
      <c r="W176" s="249"/>
      <c r="X176" s="249"/>
      <c r="Y176" s="249">
        <f t="shared" si="11"/>
        <v>0</v>
      </c>
      <c r="Z176" s="249">
        <v>65483</v>
      </c>
      <c r="AA176" s="249" t="s">
        <v>1433</v>
      </c>
      <c r="AB176" s="250">
        <v>44231</v>
      </c>
      <c r="AC176" s="251">
        <v>44251</v>
      </c>
      <c r="AD176" s="249">
        <v>10492</v>
      </c>
      <c r="AE176" s="249" t="s">
        <v>1292</v>
      </c>
      <c r="AF176" s="250">
        <v>44295</v>
      </c>
      <c r="AG176" s="251">
        <v>44301</v>
      </c>
      <c r="AH176" s="249"/>
      <c r="AI176" s="249"/>
      <c r="AJ176" s="250"/>
      <c r="AK176" s="249"/>
      <c r="AL176" s="249"/>
      <c r="AM176" s="249"/>
      <c r="AN176" s="249"/>
      <c r="AO176" s="249"/>
      <c r="AP176" s="249"/>
      <c r="AQ176" s="249"/>
      <c r="AR176" s="249"/>
      <c r="AS176" s="249"/>
      <c r="AT176" s="249">
        <v>75975</v>
      </c>
      <c r="AU176" s="249">
        <f t="shared" si="12"/>
        <v>75975</v>
      </c>
      <c r="AV176" s="269">
        <f t="shared" si="13"/>
        <v>75975</v>
      </c>
      <c r="AW176" s="269">
        <f t="shared" si="14"/>
        <v>0</v>
      </c>
    </row>
    <row r="177" spans="2:49" s="140" customFormat="1" x14ac:dyDescent="0.25">
      <c r="B177" s="227">
        <v>161</v>
      </c>
      <c r="C177" s="227" t="s">
        <v>39</v>
      </c>
      <c r="D177" s="28">
        <v>40003446</v>
      </c>
      <c r="E177" s="247" t="s">
        <v>1449</v>
      </c>
      <c r="F177" s="247" t="s">
        <v>54</v>
      </c>
      <c r="G177" s="229" t="s">
        <v>1237</v>
      </c>
      <c r="H177" s="247" t="s">
        <v>1237</v>
      </c>
      <c r="I177" s="247" t="s">
        <v>72</v>
      </c>
      <c r="J177" s="248">
        <v>392550</v>
      </c>
      <c r="K177" s="248"/>
      <c r="L177" s="248">
        <f t="shared" si="10"/>
        <v>392550</v>
      </c>
      <c r="M177" s="249"/>
      <c r="N177" s="249"/>
      <c r="O177" s="249"/>
      <c r="P177" s="249"/>
      <c r="Q177" s="249"/>
      <c r="R177" s="249"/>
      <c r="S177" s="249"/>
      <c r="T177" s="249"/>
      <c r="U177" s="249"/>
      <c r="V177" s="249"/>
      <c r="W177" s="249"/>
      <c r="X177" s="249"/>
      <c r="Y177" s="249">
        <f t="shared" si="11"/>
        <v>0</v>
      </c>
      <c r="Z177" s="249">
        <v>3</v>
      </c>
      <c r="AA177" s="249" t="s">
        <v>1433</v>
      </c>
      <c r="AB177" s="250">
        <v>44231</v>
      </c>
      <c r="AC177" s="251">
        <v>44251</v>
      </c>
      <c r="AD177" s="249"/>
      <c r="AE177" s="249"/>
      <c r="AF177" s="250"/>
      <c r="AG177" s="250"/>
      <c r="AH177" s="249"/>
      <c r="AI177" s="249"/>
      <c r="AJ177" s="250"/>
      <c r="AK177" s="249"/>
      <c r="AL177" s="249"/>
      <c r="AM177" s="249"/>
      <c r="AN177" s="249"/>
      <c r="AO177" s="249"/>
      <c r="AP177" s="249"/>
      <c r="AQ177" s="249"/>
      <c r="AR177" s="249"/>
      <c r="AS177" s="249"/>
      <c r="AT177" s="249">
        <v>3</v>
      </c>
      <c r="AU177" s="249">
        <f t="shared" si="12"/>
        <v>3</v>
      </c>
      <c r="AV177" s="269">
        <f t="shared" si="13"/>
        <v>3</v>
      </c>
      <c r="AW177" s="269">
        <f t="shared" si="14"/>
        <v>0</v>
      </c>
    </row>
    <row r="178" spans="2:49" s="140" customFormat="1" ht="22.5" x14ac:dyDescent="0.25">
      <c r="B178" s="227">
        <v>162</v>
      </c>
      <c r="C178" s="227" t="s">
        <v>39</v>
      </c>
      <c r="D178" s="28">
        <v>40004286</v>
      </c>
      <c r="E178" s="247" t="s">
        <v>1450</v>
      </c>
      <c r="F178" s="247" t="s">
        <v>1256</v>
      </c>
      <c r="G178" s="229" t="s">
        <v>1237</v>
      </c>
      <c r="H178" s="247" t="s">
        <v>1370</v>
      </c>
      <c r="I178" s="247" t="s">
        <v>57</v>
      </c>
      <c r="J178" s="248">
        <v>23917</v>
      </c>
      <c r="K178" s="248">
        <v>7053</v>
      </c>
      <c r="L178" s="248">
        <f t="shared" si="10"/>
        <v>16864</v>
      </c>
      <c r="M178" s="249"/>
      <c r="N178" s="249"/>
      <c r="O178" s="249"/>
      <c r="P178" s="249"/>
      <c r="Q178" s="249"/>
      <c r="R178" s="249"/>
      <c r="S178" s="249"/>
      <c r="T178" s="249"/>
      <c r="U178" s="249"/>
      <c r="V178" s="249"/>
      <c r="W178" s="249"/>
      <c r="X178" s="249"/>
      <c r="Y178" s="249">
        <f t="shared" si="11"/>
        <v>0</v>
      </c>
      <c r="Z178" s="249">
        <v>16864</v>
      </c>
      <c r="AA178" s="249" t="s">
        <v>1433</v>
      </c>
      <c r="AB178" s="250">
        <v>44231</v>
      </c>
      <c r="AC178" s="251">
        <v>44251</v>
      </c>
      <c r="AD178" s="249"/>
      <c r="AE178" s="249"/>
      <c r="AF178" s="250"/>
      <c r="AG178" s="250"/>
      <c r="AH178" s="249"/>
      <c r="AI178" s="249"/>
      <c r="AJ178" s="250"/>
      <c r="AK178" s="249"/>
      <c r="AL178" s="249"/>
      <c r="AM178" s="249"/>
      <c r="AN178" s="249"/>
      <c r="AO178" s="249"/>
      <c r="AP178" s="249"/>
      <c r="AQ178" s="249"/>
      <c r="AR178" s="249"/>
      <c r="AS178" s="249"/>
      <c r="AT178" s="249">
        <v>16864</v>
      </c>
      <c r="AU178" s="249">
        <f t="shared" si="12"/>
        <v>16864</v>
      </c>
      <c r="AV178" s="269">
        <f t="shared" si="13"/>
        <v>16864</v>
      </c>
      <c r="AW178" s="269">
        <f t="shared" si="14"/>
        <v>0</v>
      </c>
    </row>
    <row r="179" spans="2:49" s="140" customFormat="1" x14ac:dyDescent="0.25">
      <c r="B179" s="227">
        <v>163</v>
      </c>
      <c r="C179" s="227" t="s">
        <v>39</v>
      </c>
      <c r="D179" s="28">
        <v>30470837</v>
      </c>
      <c r="E179" s="247" t="s">
        <v>1451</v>
      </c>
      <c r="F179" s="247" t="s">
        <v>1256</v>
      </c>
      <c r="G179" s="229" t="s">
        <v>1237</v>
      </c>
      <c r="H179" s="247" t="s">
        <v>1257</v>
      </c>
      <c r="I179" s="247" t="s">
        <v>57</v>
      </c>
      <c r="J179" s="248">
        <v>80144</v>
      </c>
      <c r="K179" s="248">
        <v>49286</v>
      </c>
      <c r="L179" s="248">
        <f t="shared" si="10"/>
        <v>30858</v>
      </c>
      <c r="M179" s="249"/>
      <c r="N179" s="249"/>
      <c r="O179" s="249">
        <v>23142.78</v>
      </c>
      <c r="P179" s="249"/>
      <c r="Q179" s="249"/>
      <c r="R179" s="249"/>
      <c r="S179" s="249"/>
      <c r="T179" s="249"/>
      <c r="U179" s="249"/>
      <c r="V179" s="249"/>
      <c r="W179" s="249"/>
      <c r="X179" s="249"/>
      <c r="Y179" s="249">
        <f t="shared" si="11"/>
        <v>23142.78</v>
      </c>
      <c r="Z179" s="249">
        <v>30858</v>
      </c>
      <c r="AA179" s="249" t="s">
        <v>1433</v>
      </c>
      <c r="AB179" s="250">
        <v>44231</v>
      </c>
      <c r="AC179" s="251">
        <v>44251</v>
      </c>
      <c r="AD179" s="249"/>
      <c r="AE179" s="249"/>
      <c r="AF179" s="250"/>
      <c r="AG179" s="250"/>
      <c r="AH179" s="249"/>
      <c r="AI179" s="249"/>
      <c r="AJ179" s="250"/>
      <c r="AK179" s="249"/>
      <c r="AL179" s="249"/>
      <c r="AM179" s="249"/>
      <c r="AN179" s="249"/>
      <c r="AO179" s="249"/>
      <c r="AP179" s="249"/>
      <c r="AQ179" s="249"/>
      <c r="AR179" s="249"/>
      <c r="AS179" s="249"/>
      <c r="AT179" s="249">
        <v>30858</v>
      </c>
      <c r="AU179" s="249">
        <f t="shared" si="12"/>
        <v>7715.2200000000012</v>
      </c>
      <c r="AV179" s="269">
        <f t="shared" si="13"/>
        <v>30858</v>
      </c>
      <c r="AW179" s="269">
        <f t="shared" si="14"/>
        <v>0</v>
      </c>
    </row>
    <row r="180" spans="2:49" s="140" customFormat="1" x14ac:dyDescent="0.25">
      <c r="B180" s="227">
        <v>164</v>
      </c>
      <c r="C180" s="227" t="s">
        <v>39</v>
      </c>
      <c r="D180" s="28">
        <v>30477886</v>
      </c>
      <c r="E180" s="247" t="s">
        <v>1452</v>
      </c>
      <c r="F180" s="247" t="s">
        <v>54</v>
      </c>
      <c r="G180" s="229" t="s">
        <v>1237</v>
      </c>
      <c r="H180" s="247" t="s">
        <v>1315</v>
      </c>
      <c r="I180" s="247" t="s">
        <v>57</v>
      </c>
      <c r="J180" s="248">
        <v>790808</v>
      </c>
      <c r="K180" s="248">
        <v>744765</v>
      </c>
      <c r="L180" s="248">
        <f t="shared" si="10"/>
        <v>46043</v>
      </c>
      <c r="M180" s="249"/>
      <c r="N180" s="249">
        <v>2472</v>
      </c>
      <c r="O180" s="249"/>
      <c r="P180" s="249"/>
      <c r="Q180" s="249"/>
      <c r="R180" s="249"/>
      <c r="S180" s="249"/>
      <c r="T180" s="249"/>
      <c r="U180" s="249"/>
      <c r="V180" s="249"/>
      <c r="W180" s="249"/>
      <c r="X180" s="249"/>
      <c r="Y180" s="249">
        <f t="shared" si="11"/>
        <v>2472</v>
      </c>
      <c r="Z180" s="249">
        <v>3552</v>
      </c>
      <c r="AA180" s="249" t="s">
        <v>1433</v>
      </c>
      <c r="AB180" s="250">
        <v>44231</v>
      </c>
      <c r="AC180" s="251">
        <v>44251</v>
      </c>
      <c r="AD180" s="249">
        <v>1236</v>
      </c>
      <c r="AE180" s="249" t="s">
        <v>1295</v>
      </c>
      <c r="AF180" s="250">
        <v>44307</v>
      </c>
      <c r="AG180" s="250"/>
      <c r="AH180" s="249"/>
      <c r="AI180" s="249"/>
      <c r="AJ180" s="250"/>
      <c r="AK180" s="249"/>
      <c r="AL180" s="249"/>
      <c r="AM180" s="249"/>
      <c r="AN180" s="249"/>
      <c r="AO180" s="249"/>
      <c r="AP180" s="249"/>
      <c r="AQ180" s="249"/>
      <c r="AR180" s="249"/>
      <c r="AS180" s="249"/>
      <c r="AT180" s="249">
        <v>4788</v>
      </c>
      <c r="AU180" s="249">
        <f t="shared" si="12"/>
        <v>2316</v>
      </c>
      <c r="AV180" s="269">
        <f t="shared" si="13"/>
        <v>4788</v>
      </c>
      <c r="AW180" s="269">
        <f t="shared" si="14"/>
        <v>0</v>
      </c>
    </row>
    <row r="181" spans="2:49" s="140" customFormat="1" ht="22.5" x14ac:dyDescent="0.25">
      <c r="B181" s="227">
        <v>165</v>
      </c>
      <c r="C181" s="227" t="s">
        <v>39</v>
      </c>
      <c r="D181" s="28">
        <v>30128029</v>
      </c>
      <c r="E181" s="247" t="s">
        <v>1453</v>
      </c>
      <c r="F181" s="247" t="s">
        <v>54</v>
      </c>
      <c r="G181" s="229" t="s">
        <v>1237</v>
      </c>
      <c r="H181" s="247" t="s">
        <v>1237</v>
      </c>
      <c r="I181" s="247" t="s">
        <v>72</v>
      </c>
      <c r="J181" s="248">
        <v>115602</v>
      </c>
      <c r="K181" s="248"/>
      <c r="L181" s="248">
        <f t="shared" si="10"/>
        <v>115602</v>
      </c>
      <c r="M181" s="249"/>
      <c r="N181" s="249">
        <v>33907.866000000002</v>
      </c>
      <c r="O181" s="249">
        <v>31455.472000000002</v>
      </c>
      <c r="P181" s="249"/>
      <c r="Q181" s="249"/>
      <c r="R181" s="249"/>
      <c r="S181" s="249"/>
      <c r="T181" s="249"/>
      <c r="U181" s="249"/>
      <c r="V181" s="249"/>
      <c r="W181" s="249"/>
      <c r="X181" s="249"/>
      <c r="Y181" s="249">
        <f t="shared" si="11"/>
        <v>65363.338000000003</v>
      </c>
      <c r="Z181" s="249">
        <v>115602</v>
      </c>
      <c r="AA181" s="249" t="s">
        <v>1433</v>
      </c>
      <c r="AB181" s="250">
        <v>44231</v>
      </c>
      <c r="AC181" s="251">
        <v>44251</v>
      </c>
      <c r="AD181" s="249"/>
      <c r="AE181" s="249"/>
      <c r="AF181" s="250"/>
      <c r="AG181" s="250"/>
      <c r="AH181" s="249"/>
      <c r="AI181" s="249"/>
      <c r="AJ181" s="250"/>
      <c r="AK181" s="249"/>
      <c r="AL181" s="249"/>
      <c r="AM181" s="249"/>
      <c r="AN181" s="249"/>
      <c r="AO181" s="249"/>
      <c r="AP181" s="249"/>
      <c r="AQ181" s="249"/>
      <c r="AR181" s="249"/>
      <c r="AS181" s="249"/>
      <c r="AT181" s="249">
        <v>115602</v>
      </c>
      <c r="AU181" s="249">
        <f t="shared" si="12"/>
        <v>50238.661999999997</v>
      </c>
      <c r="AV181" s="269">
        <f t="shared" si="13"/>
        <v>115602</v>
      </c>
      <c r="AW181" s="269">
        <f t="shared" si="14"/>
        <v>0</v>
      </c>
    </row>
    <row r="182" spans="2:49" s="140" customFormat="1" x14ac:dyDescent="0.25">
      <c r="B182" s="227">
        <v>166</v>
      </c>
      <c r="C182" s="227" t="s">
        <v>39</v>
      </c>
      <c r="D182" s="28">
        <v>30369025</v>
      </c>
      <c r="E182" s="247" t="s">
        <v>1454</v>
      </c>
      <c r="F182" s="247" t="s">
        <v>1256</v>
      </c>
      <c r="G182" s="229" t="s">
        <v>1237</v>
      </c>
      <c r="H182" s="247" t="s">
        <v>1242</v>
      </c>
      <c r="I182" s="247" t="s">
        <v>72</v>
      </c>
      <c r="J182" s="248">
        <v>40946</v>
      </c>
      <c r="K182" s="248"/>
      <c r="L182" s="248">
        <f t="shared" si="10"/>
        <v>40946</v>
      </c>
      <c r="M182" s="249"/>
      <c r="N182" s="249"/>
      <c r="O182" s="249"/>
      <c r="P182" s="249"/>
      <c r="Q182" s="249"/>
      <c r="R182" s="249"/>
      <c r="S182" s="249"/>
      <c r="T182" s="249"/>
      <c r="U182" s="249"/>
      <c r="V182" s="249"/>
      <c r="W182" s="249"/>
      <c r="X182" s="249"/>
      <c r="Y182" s="249">
        <f t="shared" si="11"/>
        <v>0</v>
      </c>
      <c r="Z182" s="249">
        <v>2</v>
      </c>
      <c r="AA182" s="249" t="s">
        <v>1433</v>
      </c>
      <c r="AB182" s="250">
        <v>44231</v>
      </c>
      <c r="AC182" s="251">
        <v>44251</v>
      </c>
      <c r="AD182" s="249"/>
      <c r="AE182" s="249"/>
      <c r="AF182" s="250"/>
      <c r="AG182" s="250"/>
      <c r="AH182" s="249"/>
      <c r="AI182" s="249"/>
      <c r="AJ182" s="250"/>
      <c r="AK182" s="249"/>
      <c r="AL182" s="249"/>
      <c r="AM182" s="249"/>
      <c r="AN182" s="249"/>
      <c r="AO182" s="249"/>
      <c r="AP182" s="249"/>
      <c r="AQ182" s="249"/>
      <c r="AR182" s="249"/>
      <c r="AS182" s="249"/>
      <c r="AT182" s="249">
        <v>2</v>
      </c>
      <c r="AU182" s="249">
        <f t="shared" si="12"/>
        <v>2</v>
      </c>
      <c r="AV182" s="269">
        <f t="shared" si="13"/>
        <v>2</v>
      </c>
      <c r="AW182" s="269">
        <f t="shared" si="14"/>
        <v>0</v>
      </c>
    </row>
    <row r="183" spans="2:49" s="140" customFormat="1" ht="22.5" x14ac:dyDescent="0.25">
      <c r="B183" s="227">
        <v>167</v>
      </c>
      <c r="C183" s="227" t="s">
        <v>39</v>
      </c>
      <c r="D183" s="28">
        <v>40005874</v>
      </c>
      <c r="E183" s="247" t="s">
        <v>1455</v>
      </c>
      <c r="F183" s="247" t="s">
        <v>54</v>
      </c>
      <c r="G183" s="229" t="s">
        <v>1237</v>
      </c>
      <c r="H183" s="247" t="s">
        <v>1242</v>
      </c>
      <c r="I183" s="247" t="s">
        <v>72</v>
      </c>
      <c r="J183" s="248">
        <v>100507</v>
      </c>
      <c r="K183" s="248"/>
      <c r="L183" s="248">
        <f t="shared" si="10"/>
        <v>100507</v>
      </c>
      <c r="M183" s="249"/>
      <c r="N183" s="249"/>
      <c r="O183" s="249"/>
      <c r="P183" s="249"/>
      <c r="Q183" s="249"/>
      <c r="R183" s="249"/>
      <c r="S183" s="249"/>
      <c r="T183" s="249"/>
      <c r="U183" s="249"/>
      <c r="V183" s="249"/>
      <c r="W183" s="249"/>
      <c r="X183" s="249"/>
      <c r="Y183" s="249">
        <f t="shared" si="11"/>
        <v>0</v>
      </c>
      <c r="Z183" s="249">
        <v>3</v>
      </c>
      <c r="AA183" s="249" t="s">
        <v>1433</v>
      </c>
      <c r="AB183" s="250">
        <v>44231</v>
      </c>
      <c r="AC183" s="251">
        <v>44251</v>
      </c>
      <c r="AD183" s="249"/>
      <c r="AE183" s="249"/>
      <c r="AF183" s="250"/>
      <c r="AG183" s="250"/>
      <c r="AH183" s="249"/>
      <c r="AI183" s="249"/>
      <c r="AJ183" s="250"/>
      <c r="AK183" s="249"/>
      <c r="AL183" s="249"/>
      <c r="AM183" s="249"/>
      <c r="AN183" s="249"/>
      <c r="AO183" s="249"/>
      <c r="AP183" s="249"/>
      <c r="AQ183" s="249"/>
      <c r="AR183" s="249"/>
      <c r="AS183" s="249"/>
      <c r="AT183" s="249">
        <v>3</v>
      </c>
      <c r="AU183" s="249">
        <f t="shared" si="12"/>
        <v>3</v>
      </c>
      <c r="AV183" s="269">
        <f t="shared" si="13"/>
        <v>3</v>
      </c>
      <c r="AW183" s="269">
        <f t="shared" si="14"/>
        <v>0</v>
      </c>
    </row>
    <row r="184" spans="2:49" s="140" customFormat="1" x14ac:dyDescent="0.25">
      <c r="B184" s="227">
        <v>168</v>
      </c>
      <c r="C184" s="227" t="s">
        <v>39</v>
      </c>
      <c r="D184" s="28">
        <v>30469338</v>
      </c>
      <c r="E184" s="247" t="s">
        <v>1456</v>
      </c>
      <c r="F184" s="247" t="s">
        <v>1256</v>
      </c>
      <c r="G184" s="229" t="s">
        <v>1237</v>
      </c>
      <c r="H184" s="247" t="s">
        <v>1251</v>
      </c>
      <c r="I184" s="247" t="s">
        <v>57</v>
      </c>
      <c r="J184" s="248">
        <v>706855</v>
      </c>
      <c r="K184" s="248">
        <v>462420</v>
      </c>
      <c r="L184" s="248">
        <f t="shared" si="10"/>
        <v>244435</v>
      </c>
      <c r="M184" s="249"/>
      <c r="N184" s="249">
        <v>193082.58</v>
      </c>
      <c r="O184" s="249"/>
      <c r="P184" s="249"/>
      <c r="Q184" s="249"/>
      <c r="R184" s="249"/>
      <c r="S184" s="249"/>
      <c r="T184" s="249"/>
      <c r="U184" s="249"/>
      <c r="V184" s="249"/>
      <c r="W184" s="249"/>
      <c r="X184" s="249"/>
      <c r="Y184" s="249">
        <f t="shared" si="11"/>
        <v>193082.58</v>
      </c>
      <c r="Z184" s="249">
        <v>244435</v>
      </c>
      <c r="AA184" s="249" t="s">
        <v>1433</v>
      </c>
      <c r="AB184" s="250">
        <v>44231</v>
      </c>
      <c r="AC184" s="251">
        <v>44251</v>
      </c>
      <c r="AD184" s="249"/>
      <c r="AE184" s="249"/>
      <c r="AF184" s="250"/>
      <c r="AG184" s="250"/>
      <c r="AH184" s="249"/>
      <c r="AI184" s="249"/>
      <c r="AJ184" s="250"/>
      <c r="AK184" s="249"/>
      <c r="AL184" s="249"/>
      <c r="AM184" s="249"/>
      <c r="AN184" s="249"/>
      <c r="AO184" s="249"/>
      <c r="AP184" s="249"/>
      <c r="AQ184" s="249"/>
      <c r="AR184" s="249"/>
      <c r="AS184" s="249"/>
      <c r="AT184" s="249">
        <v>244435</v>
      </c>
      <c r="AU184" s="249">
        <f t="shared" si="12"/>
        <v>51352.420000000013</v>
      </c>
      <c r="AV184" s="269">
        <f t="shared" si="13"/>
        <v>244435</v>
      </c>
      <c r="AW184" s="269">
        <f t="shared" si="14"/>
        <v>0</v>
      </c>
    </row>
    <row r="185" spans="2:49" s="140" customFormat="1" x14ac:dyDescent="0.25">
      <c r="B185" s="227">
        <v>169</v>
      </c>
      <c r="C185" s="227" t="s">
        <v>39</v>
      </c>
      <c r="D185" s="28">
        <v>40007482</v>
      </c>
      <c r="E185" s="247" t="s">
        <v>1457</v>
      </c>
      <c r="F185" s="247" t="s">
        <v>54</v>
      </c>
      <c r="G185" s="229" t="s">
        <v>1237</v>
      </c>
      <c r="H185" s="247" t="s">
        <v>1345</v>
      </c>
      <c r="I185" s="247" t="s">
        <v>72</v>
      </c>
      <c r="J185" s="248">
        <v>1859263</v>
      </c>
      <c r="K185" s="248"/>
      <c r="L185" s="248">
        <f t="shared" si="10"/>
        <v>1859263</v>
      </c>
      <c r="M185" s="249"/>
      <c r="N185" s="249"/>
      <c r="O185" s="249"/>
      <c r="P185" s="249"/>
      <c r="Q185" s="249"/>
      <c r="R185" s="249"/>
      <c r="S185" s="249"/>
      <c r="T185" s="249"/>
      <c r="U185" s="249"/>
      <c r="V185" s="249"/>
      <c r="W185" s="249"/>
      <c r="X185" s="249"/>
      <c r="Y185" s="249">
        <f t="shared" si="11"/>
        <v>0</v>
      </c>
      <c r="Z185" s="249">
        <v>3</v>
      </c>
      <c r="AA185" s="249" t="s">
        <v>1458</v>
      </c>
      <c r="AB185" s="250">
        <v>44232</v>
      </c>
      <c r="AC185" s="251">
        <v>44249</v>
      </c>
      <c r="AD185" s="249"/>
      <c r="AE185" s="249"/>
      <c r="AF185" s="250"/>
      <c r="AG185" s="250"/>
      <c r="AH185" s="249"/>
      <c r="AI185" s="249"/>
      <c r="AJ185" s="250"/>
      <c r="AK185" s="249"/>
      <c r="AL185" s="249"/>
      <c r="AM185" s="249"/>
      <c r="AN185" s="249"/>
      <c r="AO185" s="249"/>
      <c r="AP185" s="249"/>
      <c r="AQ185" s="249"/>
      <c r="AR185" s="249"/>
      <c r="AS185" s="249"/>
      <c r="AT185" s="249">
        <v>3</v>
      </c>
      <c r="AU185" s="249">
        <f t="shared" si="12"/>
        <v>3</v>
      </c>
      <c r="AV185" s="269">
        <f t="shared" si="13"/>
        <v>3</v>
      </c>
      <c r="AW185" s="269">
        <f t="shared" si="14"/>
        <v>0</v>
      </c>
    </row>
    <row r="186" spans="2:49" s="140" customFormat="1" ht="22.5" x14ac:dyDescent="0.25">
      <c r="B186" s="227">
        <v>170</v>
      </c>
      <c r="C186" s="227" t="s">
        <v>39</v>
      </c>
      <c r="D186" s="28">
        <v>40009201</v>
      </c>
      <c r="E186" s="247" t="s">
        <v>1459</v>
      </c>
      <c r="F186" s="247" t="s">
        <v>54</v>
      </c>
      <c r="G186" s="229" t="s">
        <v>1237</v>
      </c>
      <c r="H186" s="247" t="s">
        <v>1237</v>
      </c>
      <c r="I186" s="247" t="s">
        <v>72</v>
      </c>
      <c r="J186" s="248">
        <v>2458089</v>
      </c>
      <c r="K186" s="248"/>
      <c r="L186" s="248">
        <f t="shared" si="10"/>
        <v>2458089</v>
      </c>
      <c r="M186" s="249"/>
      <c r="N186" s="249"/>
      <c r="O186" s="249"/>
      <c r="P186" s="249"/>
      <c r="Q186" s="249"/>
      <c r="R186" s="249"/>
      <c r="S186" s="249"/>
      <c r="T186" s="249"/>
      <c r="U186" s="249"/>
      <c r="V186" s="249"/>
      <c r="W186" s="249"/>
      <c r="X186" s="249"/>
      <c r="Y186" s="249">
        <f t="shared" si="11"/>
        <v>0</v>
      </c>
      <c r="Z186" s="249">
        <v>2</v>
      </c>
      <c r="AA186" s="249" t="s">
        <v>1458</v>
      </c>
      <c r="AB186" s="250">
        <v>44232</v>
      </c>
      <c r="AC186" s="251">
        <v>44249</v>
      </c>
      <c r="AD186" s="249"/>
      <c r="AE186" s="249"/>
      <c r="AF186" s="250"/>
      <c r="AG186" s="250"/>
      <c r="AH186" s="249"/>
      <c r="AI186" s="249"/>
      <c r="AJ186" s="250"/>
      <c r="AK186" s="249"/>
      <c r="AL186" s="249"/>
      <c r="AM186" s="249"/>
      <c r="AN186" s="249"/>
      <c r="AO186" s="249"/>
      <c r="AP186" s="249"/>
      <c r="AQ186" s="249"/>
      <c r="AR186" s="249"/>
      <c r="AS186" s="249"/>
      <c r="AT186" s="249">
        <v>2</v>
      </c>
      <c r="AU186" s="249">
        <f t="shared" si="12"/>
        <v>2</v>
      </c>
      <c r="AV186" s="269">
        <f t="shared" si="13"/>
        <v>2</v>
      </c>
      <c r="AW186" s="269">
        <f t="shared" si="14"/>
        <v>0</v>
      </c>
    </row>
    <row r="187" spans="2:49" s="140" customFormat="1" ht="22.5" x14ac:dyDescent="0.25">
      <c r="B187" s="227">
        <v>171</v>
      </c>
      <c r="C187" s="227" t="s">
        <v>39</v>
      </c>
      <c r="D187" s="28">
        <v>40002493</v>
      </c>
      <c r="E187" s="247" t="s">
        <v>1460</v>
      </c>
      <c r="F187" s="247" t="s">
        <v>54</v>
      </c>
      <c r="G187" s="229" t="s">
        <v>1237</v>
      </c>
      <c r="H187" s="247" t="s">
        <v>1358</v>
      </c>
      <c r="I187" s="247" t="s">
        <v>72</v>
      </c>
      <c r="J187" s="248">
        <v>624217</v>
      </c>
      <c r="K187" s="248"/>
      <c r="L187" s="248">
        <f t="shared" si="10"/>
        <v>624217</v>
      </c>
      <c r="M187" s="249"/>
      <c r="N187" s="249"/>
      <c r="O187" s="249"/>
      <c r="P187" s="249"/>
      <c r="Q187" s="249"/>
      <c r="R187" s="249"/>
      <c r="S187" s="249"/>
      <c r="T187" s="249"/>
      <c r="U187" s="249"/>
      <c r="V187" s="249"/>
      <c r="W187" s="249"/>
      <c r="X187" s="249"/>
      <c r="Y187" s="249">
        <f t="shared" si="11"/>
        <v>0</v>
      </c>
      <c r="Z187" s="249">
        <v>3</v>
      </c>
      <c r="AA187" s="249" t="s">
        <v>1458</v>
      </c>
      <c r="AB187" s="250">
        <v>44232</v>
      </c>
      <c r="AC187" s="251">
        <v>44249</v>
      </c>
      <c r="AD187" s="249"/>
      <c r="AE187" s="249"/>
      <c r="AF187" s="250"/>
      <c r="AG187" s="250"/>
      <c r="AH187" s="249"/>
      <c r="AI187" s="249"/>
      <c r="AJ187" s="250"/>
      <c r="AK187" s="249"/>
      <c r="AL187" s="249"/>
      <c r="AM187" s="249"/>
      <c r="AN187" s="249"/>
      <c r="AO187" s="249"/>
      <c r="AP187" s="249"/>
      <c r="AQ187" s="249"/>
      <c r="AR187" s="249"/>
      <c r="AS187" s="249"/>
      <c r="AT187" s="249">
        <v>3</v>
      </c>
      <c r="AU187" s="249">
        <f t="shared" si="12"/>
        <v>3</v>
      </c>
      <c r="AV187" s="269">
        <f t="shared" si="13"/>
        <v>3</v>
      </c>
      <c r="AW187" s="269">
        <f t="shared" si="14"/>
        <v>0</v>
      </c>
    </row>
    <row r="188" spans="2:49" s="140" customFormat="1" ht="22.5" x14ac:dyDescent="0.25">
      <c r="B188" s="227">
        <v>172</v>
      </c>
      <c r="C188" s="227" t="s">
        <v>39</v>
      </c>
      <c r="D188" s="28">
        <v>30484208</v>
      </c>
      <c r="E188" s="247" t="s">
        <v>1461</v>
      </c>
      <c r="F188" s="247" t="s">
        <v>1256</v>
      </c>
      <c r="G188" s="229" t="s">
        <v>1237</v>
      </c>
      <c r="H188" s="247" t="s">
        <v>1358</v>
      </c>
      <c r="I188" s="247" t="s">
        <v>72</v>
      </c>
      <c r="J188" s="248">
        <v>136554</v>
      </c>
      <c r="K188" s="248"/>
      <c r="L188" s="248">
        <f t="shared" si="10"/>
        <v>136554</v>
      </c>
      <c r="M188" s="249"/>
      <c r="N188" s="249"/>
      <c r="O188" s="249"/>
      <c r="P188" s="249"/>
      <c r="Q188" s="249"/>
      <c r="R188" s="249"/>
      <c r="S188" s="249"/>
      <c r="T188" s="249"/>
      <c r="U188" s="249"/>
      <c r="V188" s="249"/>
      <c r="W188" s="249"/>
      <c r="X188" s="249"/>
      <c r="Y188" s="249">
        <f t="shared" si="11"/>
        <v>0</v>
      </c>
      <c r="Z188" s="249">
        <v>1</v>
      </c>
      <c r="AA188" s="249" t="s">
        <v>1458</v>
      </c>
      <c r="AB188" s="250">
        <v>44232</v>
      </c>
      <c r="AC188" s="251">
        <v>44249</v>
      </c>
      <c r="AD188" s="249"/>
      <c r="AE188" s="249"/>
      <c r="AF188" s="250"/>
      <c r="AG188" s="250"/>
      <c r="AH188" s="249"/>
      <c r="AI188" s="249"/>
      <c r="AJ188" s="250"/>
      <c r="AK188" s="249"/>
      <c r="AL188" s="249"/>
      <c r="AM188" s="249"/>
      <c r="AN188" s="249"/>
      <c r="AO188" s="249"/>
      <c r="AP188" s="249"/>
      <c r="AQ188" s="249"/>
      <c r="AR188" s="249"/>
      <c r="AS188" s="249"/>
      <c r="AT188" s="249">
        <v>1</v>
      </c>
      <c r="AU188" s="249">
        <f t="shared" si="12"/>
        <v>1</v>
      </c>
      <c r="AV188" s="269">
        <f t="shared" si="13"/>
        <v>1</v>
      </c>
      <c r="AW188" s="269">
        <f t="shared" si="14"/>
        <v>0</v>
      </c>
    </row>
    <row r="189" spans="2:49" s="140" customFormat="1" ht="22.5" x14ac:dyDescent="0.25">
      <c r="B189" s="227">
        <v>173</v>
      </c>
      <c r="C189" s="227" t="s">
        <v>39</v>
      </c>
      <c r="D189" s="28">
        <v>40010390</v>
      </c>
      <c r="E189" s="247" t="s">
        <v>1462</v>
      </c>
      <c r="F189" s="247" t="s">
        <v>54</v>
      </c>
      <c r="G189" s="229" t="s">
        <v>1237</v>
      </c>
      <c r="H189" s="247" t="s">
        <v>1358</v>
      </c>
      <c r="I189" s="247" t="s">
        <v>72</v>
      </c>
      <c r="J189" s="248">
        <v>245801</v>
      </c>
      <c r="K189" s="248"/>
      <c r="L189" s="248">
        <f t="shared" si="10"/>
        <v>245801</v>
      </c>
      <c r="M189" s="249"/>
      <c r="N189" s="249"/>
      <c r="O189" s="249"/>
      <c r="P189" s="249"/>
      <c r="Q189" s="249"/>
      <c r="R189" s="249"/>
      <c r="S189" s="249"/>
      <c r="T189" s="249"/>
      <c r="U189" s="249"/>
      <c r="V189" s="249"/>
      <c r="W189" s="249"/>
      <c r="X189" s="249"/>
      <c r="Y189" s="249">
        <f t="shared" si="11"/>
        <v>0</v>
      </c>
      <c r="Z189" s="249">
        <v>2</v>
      </c>
      <c r="AA189" s="249" t="s">
        <v>1458</v>
      </c>
      <c r="AB189" s="250">
        <v>44232</v>
      </c>
      <c r="AC189" s="251">
        <v>44249</v>
      </c>
      <c r="AD189" s="249"/>
      <c r="AE189" s="249"/>
      <c r="AF189" s="250"/>
      <c r="AG189" s="250"/>
      <c r="AH189" s="249"/>
      <c r="AI189" s="249"/>
      <c r="AJ189" s="250"/>
      <c r="AK189" s="249"/>
      <c r="AL189" s="249"/>
      <c r="AM189" s="249"/>
      <c r="AN189" s="249"/>
      <c r="AO189" s="249"/>
      <c r="AP189" s="249"/>
      <c r="AQ189" s="249"/>
      <c r="AR189" s="249"/>
      <c r="AS189" s="249"/>
      <c r="AT189" s="249">
        <v>2</v>
      </c>
      <c r="AU189" s="249">
        <f t="shared" si="12"/>
        <v>2</v>
      </c>
      <c r="AV189" s="269">
        <f t="shared" si="13"/>
        <v>2</v>
      </c>
      <c r="AW189" s="269">
        <f t="shared" si="14"/>
        <v>0</v>
      </c>
    </row>
    <row r="190" spans="2:49" s="140" customFormat="1" ht="22.5" x14ac:dyDescent="0.25">
      <c r="B190" s="227">
        <v>174</v>
      </c>
      <c r="C190" s="227" t="s">
        <v>39</v>
      </c>
      <c r="D190" s="28">
        <v>40004207</v>
      </c>
      <c r="E190" s="247" t="s">
        <v>1463</v>
      </c>
      <c r="F190" s="247" t="s">
        <v>54</v>
      </c>
      <c r="G190" s="229" t="s">
        <v>1237</v>
      </c>
      <c r="H190" s="247" t="s">
        <v>1315</v>
      </c>
      <c r="I190" s="247" t="s">
        <v>72</v>
      </c>
      <c r="J190" s="248">
        <v>293554</v>
      </c>
      <c r="K190" s="248"/>
      <c r="L190" s="248">
        <f t="shared" si="10"/>
        <v>293554</v>
      </c>
      <c r="M190" s="249"/>
      <c r="N190" s="249"/>
      <c r="O190" s="249"/>
      <c r="P190" s="249"/>
      <c r="Q190" s="249"/>
      <c r="R190" s="249"/>
      <c r="S190" s="249"/>
      <c r="T190" s="249"/>
      <c r="U190" s="249"/>
      <c r="V190" s="249"/>
      <c r="W190" s="249"/>
      <c r="X190" s="249"/>
      <c r="Y190" s="249">
        <f t="shared" si="11"/>
        <v>0</v>
      </c>
      <c r="Z190" s="249">
        <v>2</v>
      </c>
      <c r="AA190" s="249" t="s">
        <v>1458</v>
      </c>
      <c r="AB190" s="250">
        <v>44232</v>
      </c>
      <c r="AC190" s="251">
        <v>44249</v>
      </c>
      <c r="AD190" s="249">
        <v>287260</v>
      </c>
      <c r="AE190" s="249" t="s">
        <v>1308</v>
      </c>
      <c r="AF190" s="250">
        <v>44253</v>
      </c>
      <c r="AG190" s="251">
        <v>44286</v>
      </c>
      <c r="AH190" s="249"/>
      <c r="AI190" s="249"/>
      <c r="AJ190" s="250"/>
      <c r="AK190" s="249"/>
      <c r="AL190" s="249"/>
      <c r="AM190" s="249"/>
      <c r="AN190" s="249"/>
      <c r="AO190" s="249"/>
      <c r="AP190" s="249"/>
      <c r="AQ190" s="249"/>
      <c r="AR190" s="249"/>
      <c r="AS190" s="249"/>
      <c r="AT190" s="249">
        <v>287262</v>
      </c>
      <c r="AU190" s="249">
        <f t="shared" si="12"/>
        <v>287262</v>
      </c>
      <c r="AV190" s="269">
        <f t="shared" si="13"/>
        <v>287262</v>
      </c>
      <c r="AW190" s="269">
        <f t="shared" si="14"/>
        <v>0</v>
      </c>
    </row>
    <row r="191" spans="2:49" s="140" customFormat="1" ht="22.5" x14ac:dyDescent="0.25">
      <c r="B191" s="227">
        <v>175</v>
      </c>
      <c r="C191" s="227" t="s">
        <v>39</v>
      </c>
      <c r="D191" s="28">
        <v>40007565</v>
      </c>
      <c r="E191" s="247" t="s">
        <v>1464</v>
      </c>
      <c r="F191" s="247" t="s">
        <v>54</v>
      </c>
      <c r="G191" s="229" t="s">
        <v>1237</v>
      </c>
      <c r="H191" s="247" t="s">
        <v>1315</v>
      </c>
      <c r="I191" s="247" t="s">
        <v>72</v>
      </c>
      <c r="J191" s="248">
        <v>224672</v>
      </c>
      <c r="K191" s="248"/>
      <c r="L191" s="248">
        <f t="shared" si="10"/>
        <v>224672</v>
      </c>
      <c r="M191" s="249"/>
      <c r="N191" s="249"/>
      <c r="O191" s="249"/>
      <c r="P191" s="249"/>
      <c r="Q191" s="249"/>
      <c r="R191" s="249"/>
      <c r="S191" s="249"/>
      <c r="T191" s="249"/>
      <c r="U191" s="249"/>
      <c r="V191" s="249"/>
      <c r="W191" s="249"/>
      <c r="X191" s="249"/>
      <c r="Y191" s="249">
        <f t="shared" si="11"/>
        <v>0</v>
      </c>
      <c r="Z191" s="249">
        <v>2</v>
      </c>
      <c r="AA191" s="249" t="s">
        <v>1458</v>
      </c>
      <c r="AB191" s="250">
        <v>44232</v>
      </c>
      <c r="AC191" s="251">
        <v>44249</v>
      </c>
      <c r="AD191" s="249">
        <v>34591</v>
      </c>
      <c r="AE191" s="249" t="s">
        <v>1292</v>
      </c>
      <c r="AF191" s="250">
        <v>44295</v>
      </c>
      <c r="AG191" s="251">
        <v>44301</v>
      </c>
      <c r="AH191" s="249"/>
      <c r="AI191" s="249"/>
      <c r="AJ191" s="250"/>
      <c r="AK191" s="249"/>
      <c r="AL191" s="249"/>
      <c r="AM191" s="249"/>
      <c r="AN191" s="249"/>
      <c r="AO191" s="249"/>
      <c r="AP191" s="249"/>
      <c r="AQ191" s="249"/>
      <c r="AR191" s="249"/>
      <c r="AS191" s="249"/>
      <c r="AT191" s="249">
        <v>34593</v>
      </c>
      <c r="AU191" s="249">
        <f t="shared" si="12"/>
        <v>34593</v>
      </c>
      <c r="AV191" s="269">
        <f t="shared" si="13"/>
        <v>34593</v>
      </c>
      <c r="AW191" s="269">
        <f t="shared" si="14"/>
        <v>0</v>
      </c>
    </row>
    <row r="192" spans="2:49" s="140" customFormat="1" ht="22.5" x14ac:dyDescent="0.25">
      <c r="B192" s="227">
        <v>176</v>
      </c>
      <c r="C192" s="227" t="s">
        <v>39</v>
      </c>
      <c r="D192" s="28">
        <v>40001631</v>
      </c>
      <c r="E192" s="247" t="s">
        <v>1465</v>
      </c>
      <c r="F192" s="247" t="s">
        <v>54</v>
      </c>
      <c r="G192" s="229" t="s">
        <v>1237</v>
      </c>
      <c r="H192" s="247" t="s">
        <v>1315</v>
      </c>
      <c r="I192" s="247" t="s">
        <v>72</v>
      </c>
      <c r="J192" s="248">
        <v>707800</v>
      </c>
      <c r="K192" s="248"/>
      <c r="L192" s="248">
        <f t="shared" si="10"/>
        <v>707800</v>
      </c>
      <c r="M192" s="249"/>
      <c r="N192" s="249"/>
      <c r="O192" s="249"/>
      <c r="P192" s="249"/>
      <c r="Q192" s="249"/>
      <c r="R192" s="249"/>
      <c r="S192" s="249"/>
      <c r="T192" s="249"/>
      <c r="U192" s="249"/>
      <c r="V192" s="249"/>
      <c r="W192" s="249"/>
      <c r="X192" s="249"/>
      <c r="Y192" s="249">
        <f t="shared" si="11"/>
        <v>0</v>
      </c>
      <c r="Z192" s="249">
        <v>2</v>
      </c>
      <c r="AA192" s="249" t="s">
        <v>1458</v>
      </c>
      <c r="AB192" s="250">
        <v>44232</v>
      </c>
      <c r="AC192" s="251">
        <v>44249</v>
      </c>
      <c r="AD192" s="249">
        <v>623222</v>
      </c>
      <c r="AE192" s="249" t="s">
        <v>1308</v>
      </c>
      <c r="AF192" s="250">
        <v>44253</v>
      </c>
      <c r="AG192" s="251">
        <v>44286</v>
      </c>
      <c r="AH192" s="249"/>
      <c r="AI192" s="249"/>
      <c r="AJ192" s="250"/>
      <c r="AK192" s="249"/>
      <c r="AL192" s="249"/>
      <c r="AM192" s="249"/>
      <c r="AN192" s="249"/>
      <c r="AO192" s="249"/>
      <c r="AP192" s="249"/>
      <c r="AQ192" s="249"/>
      <c r="AR192" s="249"/>
      <c r="AS192" s="249"/>
      <c r="AT192" s="249">
        <v>623224</v>
      </c>
      <c r="AU192" s="249">
        <f t="shared" si="12"/>
        <v>623224</v>
      </c>
      <c r="AV192" s="269">
        <f t="shared" si="13"/>
        <v>623224</v>
      </c>
      <c r="AW192" s="269">
        <f t="shared" si="14"/>
        <v>0</v>
      </c>
    </row>
    <row r="193" spans="2:49" s="140" customFormat="1" x14ac:dyDescent="0.25">
      <c r="B193" s="227">
        <v>177</v>
      </c>
      <c r="C193" s="227" t="s">
        <v>39</v>
      </c>
      <c r="D193" s="28">
        <v>40013139</v>
      </c>
      <c r="E193" s="247" t="s">
        <v>1466</v>
      </c>
      <c r="F193" s="247" t="s">
        <v>54</v>
      </c>
      <c r="G193" s="229" t="s">
        <v>1237</v>
      </c>
      <c r="H193" s="247" t="s">
        <v>1257</v>
      </c>
      <c r="I193" s="247" t="s">
        <v>72</v>
      </c>
      <c r="J193" s="248">
        <v>1161106</v>
      </c>
      <c r="K193" s="248"/>
      <c r="L193" s="248">
        <f t="shared" si="10"/>
        <v>1161106</v>
      </c>
      <c r="M193" s="249"/>
      <c r="N193" s="249"/>
      <c r="O193" s="249"/>
      <c r="P193" s="249"/>
      <c r="Q193" s="249"/>
      <c r="R193" s="249"/>
      <c r="S193" s="249"/>
      <c r="T193" s="249"/>
      <c r="U193" s="249"/>
      <c r="V193" s="249"/>
      <c r="W193" s="249"/>
      <c r="X193" s="249"/>
      <c r="Y193" s="249">
        <f t="shared" si="11"/>
        <v>0</v>
      </c>
      <c r="Z193" s="249">
        <v>1</v>
      </c>
      <c r="AA193" s="249" t="s">
        <v>1458</v>
      </c>
      <c r="AB193" s="250">
        <v>44232</v>
      </c>
      <c r="AC193" s="251">
        <v>44249</v>
      </c>
      <c r="AD193" s="249">
        <v>132023</v>
      </c>
      <c r="AE193" s="249" t="s">
        <v>1292</v>
      </c>
      <c r="AF193" s="250">
        <v>44295</v>
      </c>
      <c r="AG193" s="251">
        <v>44301</v>
      </c>
      <c r="AH193" s="249">
        <v>73954</v>
      </c>
      <c r="AI193" s="249" t="s">
        <v>1467</v>
      </c>
      <c r="AJ193" s="250">
        <v>44307</v>
      </c>
      <c r="AK193" s="249"/>
      <c r="AL193" s="249"/>
      <c r="AM193" s="249"/>
      <c r="AN193" s="249"/>
      <c r="AO193" s="249"/>
      <c r="AP193" s="249"/>
      <c r="AQ193" s="249"/>
      <c r="AR193" s="249"/>
      <c r="AS193" s="249"/>
      <c r="AT193" s="249">
        <v>205978</v>
      </c>
      <c r="AU193" s="249">
        <f t="shared" si="12"/>
        <v>205978</v>
      </c>
      <c r="AV193" s="269">
        <f>Z193+AD193+AH193</f>
        <v>205978</v>
      </c>
      <c r="AW193" s="269">
        <f t="shared" si="14"/>
        <v>0</v>
      </c>
    </row>
    <row r="194" spans="2:49" s="140" customFormat="1" ht="22.5" x14ac:dyDescent="0.25">
      <c r="B194" s="227">
        <v>178</v>
      </c>
      <c r="C194" s="227" t="s">
        <v>39</v>
      </c>
      <c r="D194" s="28">
        <v>40015729</v>
      </c>
      <c r="E194" s="247" t="s">
        <v>1468</v>
      </c>
      <c r="F194" s="247" t="s">
        <v>1256</v>
      </c>
      <c r="G194" s="229" t="s">
        <v>1237</v>
      </c>
      <c r="H194" s="247" t="s">
        <v>1249</v>
      </c>
      <c r="I194" s="247" t="s">
        <v>72</v>
      </c>
      <c r="J194" s="248">
        <v>34620</v>
      </c>
      <c r="K194" s="248"/>
      <c r="L194" s="248">
        <f t="shared" si="10"/>
        <v>34620</v>
      </c>
      <c r="M194" s="249"/>
      <c r="N194" s="249"/>
      <c r="O194" s="249"/>
      <c r="P194" s="249"/>
      <c r="Q194" s="249"/>
      <c r="R194" s="249"/>
      <c r="S194" s="249"/>
      <c r="T194" s="249"/>
      <c r="U194" s="249"/>
      <c r="V194" s="249"/>
      <c r="W194" s="249"/>
      <c r="X194" s="249"/>
      <c r="Y194" s="249">
        <f t="shared" si="11"/>
        <v>0</v>
      </c>
      <c r="Z194" s="249">
        <v>1</v>
      </c>
      <c r="AA194" s="249" t="s">
        <v>1458</v>
      </c>
      <c r="AB194" s="250">
        <v>44232</v>
      </c>
      <c r="AC194" s="251">
        <v>44249</v>
      </c>
      <c r="AD194" s="249"/>
      <c r="AE194" s="249"/>
      <c r="AF194" s="250"/>
      <c r="AG194" s="250"/>
      <c r="AH194" s="249"/>
      <c r="AI194" s="249"/>
      <c r="AJ194" s="250"/>
      <c r="AK194" s="249"/>
      <c r="AL194" s="249"/>
      <c r="AM194" s="249"/>
      <c r="AN194" s="249"/>
      <c r="AO194" s="249"/>
      <c r="AP194" s="249"/>
      <c r="AQ194" s="249"/>
      <c r="AR194" s="249"/>
      <c r="AS194" s="249"/>
      <c r="AT194" s="249">
        <v>1</v>
      </c>
      <c r="AU194" s="249">
        <f t="shared" si="12"/>
        <v>1</v>
      </c>
      <c r="AV194" s="269">
        <f t="shared" si="13"/>
        <v>1</v>
      </c>
      <c r="AW194" s="269">
        <f t="shared" si="14"/>
        <v>0</v>
      </c>
    </row>
    <row r="195" spans="2:49" s="140" customFormat="1" ht="22.5" x14ac:dyDescent="0.25">
      <c r="B195" s="227">
        <v>179</v>
      </c>
      <c r="C195" s="227" t="s">
        <v>39</v>
      </c>
      <c r="D195" s="28">
        <v>40001590</v>
      </c>
      <c r="E195" s="247" t="s">
        <v>1469</v>
      </c>
      <c r="F195" s="247" t="s">
        <v>1256</v>
      </c>
      <c r="G195" s="229" t="s">
        <v>1237</v>
      </c>
      <c r="H195" s="247" t="s">
        <v>1274</v>
      </c>
      <c r="I195" s="247" t="s">
        <v>72</v>
      </c>
      <c r="J195" s="248">
        <v>52454</v>
      </c>
      <c r="K195" s="248"/>
      <c r="L195" s="248">
        <f t="shared" si="10"/>
        <v>52454</v>
      </c>
      <c r="M195" s="249"/>
      <c r="N195" s="249"/>
      <c r="O195" s="249"/>
      <c r="P195" s="249"/>
      <c r="Q195" s="249"/>
      <c r="R195" s="249"/>
      <c r="S195" s="249"/>
      <c r="T195" s="249"/>
      <c r="U195" s="249"/>
      <c r="V195" s="249"/>
      <c r="W195" s="249"/>
      <c r="X195" s="249"/>
      <c r="Y195" s="249">
        <f t="shared" si="11"/>
        <v>0</v>
      </c>
      <c r="Z195" s="249">
        <v>1</v>
      </c>
      <c r="AA195" s="249" t="s">
        <v>1458</v>
      </c>
      <c r="AB195" s="250">
        <v>44232</v>
      </c>
      <c r="AC195" s="251">
        <v>44249</v>
      </c>
      <c r="AD195" s="249"/>
      <c r="AE195" s="249"/>
      <c r="AF195" s="250"/>
      <c r="AG195" s="250"/>
      <c r="AH195" s="249"/>
      <c r="AI195" s="249"/>
      <c r="AJ195" s="250"/>
      <c r="AK195" s="249"/>
      <c r="AL195" s="249"/>
      <c r="AM195" s="249"/>
      <c r="AN195" s="249"/>
      <c r="AO195" s="249"/>
      <c r="AP195" s="249"/>
      <c r="AQ195" s="249"/>
      <c r="AR195" s="249"/>
      <c r="AS195" s="249"/>
      <c r="AT195" s="249">
        <v>1</v>
      </c>
      <c r="AU195" s="249">
        <f t="shared" si="12"/>
        <v>1</v>
      </c>
      <c r="AV195" s="269">
        <f t="shared" si="13"/>
        <v>1</v>
      </c>
      <c r="AW195" s="269">
        <f t="shared" si="14"/>
        <v>0</v>
      </c>
    </row>
    <row r="196" spans="2:49" s="140" customFormat="1" ht="22.5" x14ac:dyDescent="0.25">
      <c r="B196" s="227">
        <v>180</v>
      </c>
      <c r="C196" s="227" t="s">
        <v>39</v>
      </c>
      <c r="D196" s="28">
        <v>40008583</v>
      </c>
      <c r="E196" s="247" t="s">
        <v>1470</v>
      </c>
      <c r="F196" s="247" t="s">
        <v>54</v>
      </c>
      <c r="G196" s="229" t="s">
        <v>1237</v>
      </c>
      <c r="H196" s="247" t="s">
        <v>1341</v>
      </c>
      <c r="I196" s="247" t="s">
        <v>72</v>
      </c>
      <c r="J196" s="248">
        <v>626490</v>
      </c>
      <c r="K196" s="248"/>
      <c r="L196" s="248">
        <f t="shared" si="10"/>
        <v>626490</v>
      </c>
      <c r="M196" s="249"/>
      <c r="N196" s="249"/>
      <c r="O196" s="249"/>
      <c r="P196" s="249"/>
      <c r="Q196" s="249"/>
      <c r="R196" s="249"/>
      <c r="S196" s="249"/>
      <c r="T196" s="249"/>
      <c r="U196" s="249"/>
      <c r="V196" s="249"/>
      <c r="W196" s="249"/>
      <c r="X196" s="249"/>
      <c r="Y196" s="249">
        <f t="shared" si="11"/>
        <v>0</v>
      </c>
      <c r="Z196" s="249">
        <v>3</v>
      </c>
      <c r="AA196" s="249" t="s">
        <v>1458</v>
      </c>
      <c r="AB196" s="250">
        <v>44232</v>
      </c>
      <c r="AC196" s="251">
        <v>44249</v>
      </c>
      <c r="AD196" s="249"/>
      <c r="AE196" s="249"/>
      <c r="AF196" s="250"/>
      <c r="AG196" s="250"/>
      <c r="AH196" s="249"/>
      <c r="AI196" s="249"/>
      <c r="AJ196" s="250"/>
      <c r="AK196" s="249"/>
      <c r="AL196" s="249"/>
      <c r="AM196" s="249"/>
      <c r="AN196" s="249"/>
      <c r="AO196" s="249"/>
      <c r="AP196" s="249"/>
      <c r="AQ196" s="249"/>
      <c r="AR196" s="249"/>
      <c r="AS196" s="249"/>
      <c r="AT196" s="249">
        <v>3</v>
      </c>
      <c r="AU196" s="249">
        <f t="shared" si="12"/>
        <v>3</v>
      </c>
      <c r="AV196" s="269">
        <f t="shared" si="13"/>
        <v>3</v>
      </c>
      <c r="AW196" s="269">
        <f t="shared" si="14"/>
        <v>0</v>
      </c>
    </row>
    <row r="197" spans="2:49" s="140" customFormat="1" ht="22.5" x14ac:dyDescent="0.25">
      <c r="B197" s="227">
        <v>181</v>
      </c>
      <c r="C197" s="227" t="s">
        <v>39</v>
      </c>
      <c r="D197" s="28">
        <v>40009784</v>
      </c>
      <c r="E197" s="247" t="s">
        <v>1471</v>
      </c>
      <c r="F197" s="247" t="s">
        <v>54</v>
      </c>
      <c r="G197" s="229" t="s">
        <v>1237</v>
      </c>
      <c r="H197" s="247" t="s">
        <v>1472</v>
      </c>
      <c r="I197" s="247" t="s">
        <v>72</v>
      </c>
      <c r="J197" s="248">
        <v>2015866</v>
      </c>
      <c r="K197" s="248"/>
      <c r="L197" s="248">
        <f t="shared" si="10"/>
        <v>2015866</v>
      </c>
      <c r="M197" s="249"/>
      <c r="N197" s="249"/>
      <c r="O197" s="249"/>
      <c r="P197" s="249"/>
      <c r="Q197" s="249"/>
      <c r="R197" s="249"/>
      <c r="S197" s="249"/>
      <c r="T197" s="249"/>
      <c r="U197" s="249"/>
      <c r="V197" s="249"/>
      <c r="W197" s="249"/>
      <c r="X197" s="249"/>
      <c r="Y197" s="249">
        <f t="shared" si="11"/>
        <v>0</v>
      </c>
      <c r="Z197" s="249">
        <v>2</v>
      </c>
      <c r="AA197" s="249" t="s">
        <v>1458</v>
      </c>
      <c r="AB197" s="250">
        <v>44232</v>
      </c>
      <c r="AC197" s="251">
        <v>44249</v>
      </c>
      <c r="AD197" s="249"/>
      <c r="AE197" s="249"/>
      <c r="AF197" s="250"/>
      <c r="AG197" s="250"/>
      <c r="AH197" s="249"/>
      <c r="AI197" s="249"/>
      <c r="AJ197" s="250"/>
      <c r="AK197" s="249"/>
      <c r="AL197" s="249"/>
      <c r="AM197" s="249"/>
      <c r="AN197" s="249"/>
      <c r="AO197" s="249"/>
      <c r="AP197" s="249"/>
      <c r="AQ197" s="249"/>
      <c r="AR197" s="249"/>
      <c r="AS197" s="249"/>
      <c r="AT197" s="249">
        <v>2</v>
      </c>
      <c r="AU197" s="249">
        <f t="shared" si="12"/>
        <v>2</v>
      </c>
      <c r="AV197" s="269">
        <f t="shared" si="13"/>
        <v>2</v>
      </c>
      <c r="AW197" s="269">
        <f t="shared" si="14"/>
        <v>0</v>
      </c>
    </row>
    <row r="198" spans="2:49" s="140" customFormat="1" ht="22.5" x14ac:dyDescent="0.25">
      <c r="B198" s="227">
        <v>182</v>
      </c>
      <c r="C198" s="227" t="s">
        <v>39</v>
      </c>
      <c r="D198" s="28">
        <v>40015930</v>
      </c>
      <c r="E198" s="247" t="s">
        <v>1473</v>
      </c>
      <c r="F198" s="247" t="s">
        <v>1256</v>
      </c>
      <c r="G198" s="229" t="s">
        <v>1237</v>
      </c>
      <c r="H198" s="247" t="s">
        <v>1312</v>
      </c>
      <c r="I198" s="247" t="s">
        <v>72</v>
      </c>
      <c r="J198" s="248">
        <v>115924</v>
      </c>
      <c r="K198" s="248"/>
      <c r="L198" s="248">
        <f t="shared" si="10"/>
        <v>115924</v>
      </c>
      <c r="M198" s="249"/>
      <c r="N198" s="249"/>
      <c r="O198" s="249"/>
      <c r="P198" s="249"/>
      <c r="Q198" s="249"/>
      <c r="R198" s="249"/>
      <c r="S198" s="249"/>
      <c r="T198" s="249"/>
      <c r="U198" s="249"/>
      <c r="V198" s="249"/>
      <c r="W198" s="249"/>
      <c r="X198" s="249"/>
      <c r="Y198" s="249">
        <f t="shared" si="11"/>
        <v>0</v>
      </c>
      <c r="Z198" s="249">
        <v>1</v>
      </c>
      <c r="AA198" s="249" t="s">
        <v>1458</v>
      </c>
      <c r="AB198" s="250">
        <v>44232</v>
      </c>
      <c r="AC198" s="251">
        <v>44249</v>
      </c>
      <c r="AD198" s="249"/>
      <c r="AE198" s="249"/>
      <c r="AF198" s="250"/>
      <c r="AG198" s="250"/>
      <c r="AH198" s="249"/>
      <c r="AI198" s="249"/>
      <c r="AJ198" s="250"/>
      <c r="AK198" s="249"/>
      <c r="AL198" s="249"/>
      <c r="AM198" s="249"/>
      <c r="AN198" s="249"/>
      <c r="AO198" s="249"/>
      <c r="AP198" s="249"/>
      <c r="AQ198" s="249"/>
      <c r="AR198" s="249"/>
      <c r="AS198" s="249"/>
      <c r="AT198" s="249">
        <v>1</v>
      </c>
      <c r="AU198" s="249">
        <f t="shared" si="12"/>
        <v>1</v>
      </c>
      <c r="AV198" s="269">
        <f t="shared" si="13"/>
        <v>1</v>
      </c>
      <c r="AW198" s="269">
        <f t="shared" si="14"/>
        <v>0</v>
      </c>
    </row>
    <row r="199" spans="2:49" s="140" customFormat="1" ht="22.5" x14ac:dyDescent="0.25">
      <c r="B199" s="227">
        <v>183</v>
      </c>
      <c r="C199" s="227" t="s">
        <v>39</v>
      </c>
      <c r="D199" s="28">
        <v>30485268</v>
      </c>
      <c r="E199" s="247" t="s">
        <v>1474</v>
      </c>
      <c r="F199" s="247" t="s">
        <v>54</v>
      </c>
      <c r="G199" s="229" t="s">
        <v>1237</v>
      </c>
      <c r="H199" s="247" t="s">
        <v>1312</v>
      </c>
      <c r="I199" s="247" t="s">
        <v>72</v>
      </c>
      <c r="J199" s="248">
        <v>705131</v>
      </c>
      <c r="K199" s="248"/>
      <c r="L199" s="248">
        <f t="shared" si="10"/>
        <v>705131</v>
      </c>
      <c r="M199" s="249"/>
      <c r="N199" s="249"/>
      <c r="O199" s="249"/>
      <c r="P199" s="249"/>
      <c r="Q199" s="249"/>
      <c r="R199" s="249"/>
      <c r="S199" s="249"/>
      <c r="T199" s="249"/>
      <c r="U199" s="249"/>
      <c r="V199" s="249"/>
      <c r="W199" s="249"/>
      <c r="X199" s="249"/>
      <c r="Y199" s="249">
        <f t="shared" si="11"/>
        <v>0</v>
      </c>
      <c r="Z199" s="249">
        <v>3</v>
      </c>
      <c r="AA199" s="249" t="s">
        <v>1458</v>
      </c>
      <c r="AB199" s="250">
        <v>44232</v>
      </c>
      <c r="AC199" s="251">
        <v>44249</v>
      </c>
      <c r="AD199" s="249"/>
      <c r="AE199" s="249"/>
      <c r="AF199" s="250"/>
      <c r="AG199" s="250"/>
      <c r="AH199" s="249"/>
      <c r="AI199" s="249"/>
      <c r="AJ199" s="250"/>
      <c r="AK199" s="249"/>
      <c r="AL199" s="249"/>
      <c r="AM199" s="249"/>
      <c r="AN199" s="249"/>
      <c r="AO199" s="249"/>
      <c r="AP199" s="249"/>
      <c r="AQ199" s="249"/>
      <c r="AR199" s="249"/>
      <c r="AS199" s="249"/>
      <c r="AT199" s="249">
        <v>3</v>
      </c>
      <c r="AU199" s="249">
        <f t="shared" si="12"/>
        <v>3</v>
      </c>
      <c r="AV199" s="269">
        <f t="shared" si="13"/>
        <v>3</v>
      </c>
      <c r="AW199" s="269">
        <f t="shared" si="14"/>
        <v>0</v>
      </c>
    </row>
    <row r="200" spans="2:49" s="140" customFormat="1" ht="22.5" x14ac:dyDescent="0.25">
      <c r="B200" s="227">
        <v>184</v>
      </c>
      <c r="C200" s="227" t="s">
        <v>39</v>
      </c>
      <c r="D200" s="28">
        <v>40003755</v>
      </c>
      <c r="E200" s="247" t="s">
        <v>1475</v>
      </c>
      <c r="F200" s="247" t="s">
        <v>54</v>
      </c>
      <c r="G200" s="229" t="s">
        <v>1237</v>
      </c>
      <c r="H200" s="247" t="s">
        <v>1303</v>
      </c>
      <c r="I200" s="247" t="s">
        <v>72</v>
      </c>
      <c r="J200" s="248">
        <v>555043</v>
      </c>
      <c r="K200" s="248"/>
      <c r="L200" s="248">
        <f t="shared" si="10"/>
        <v>555043</v>
      </c>
      <c r="M200" s="249"/>
      <c r="N200" s="249"/>
      <c r="O200" s="249"/>
      <c r="P200" s="249"/>
      <c r="Q200" s="249"/>
      <c r="R200" s="249"/>
      <c r="S200" s="249"/>
      <c r="T200" s="249"/>
      <c r="U200" s="249"/>
      <c r="V200" s="249"/>
      <c r="W200" s="249"/>
      <c r="X200" s="249"/>
      <c r="Y200" s="249">
        <f t="shared" si="11"/>
        <v>0</v>
      </c>
      <c r="Z200" s="249">
        <v>3</v>
      </c>
      <c r="AA200" s="249" t="s">
        <v>1458</v>
      </c>
      <c r="AB200" s="250">
        <v>44232</v>
      </c>
      <c r="AC200" s="251">
        <v>44249</v>
      </c>
      <c r="AD200" s="249">
        <v>535656</v>
      </c>
      <c r="AE200" s="249" t="s">
        <v>1308</v>
      </c>
      <c r="AF200" s="250">
        <v>44253</v>
      </c>
      <c r="AG200" s="251">
        <v>44286</v>
      </c>
      <c r="AH200" s="249"/>
      <c r="AI200" s="249"/>
      <c r="AJ200" s="250"/>
      <c r="AK200" s="249"/>
      <c r="AL200" s="249"/>
      <c r="AM200" s="249"/>
      <c r="AN200" s="249"/>
      <c r="AO200" s="249"/>
      <c r="AP200" s="249"/>
      <c r="AQ200" s="249"/>
      <c r="AR200" s="249"/>
      <c r="AS200" s="249"/>
      <c r="AT200" s="249">
        <v>535659</v>
      </c>
      <c r="AU200" s="249">
        <f t="shared" si="12"/>
        <v>535659</v>
      </c>
      <c r="AV200" s="269">
        <f t="shared" si="13"/>
        <v>535659</v>
      </c>
      <c r="AW200" s="269">
        <f t="shared" si="14"/>
        <v>0</v>
      </c>
    </row>
    <row r="201" spans="2:49" s="140" customFormat="1" x14ac:dyDescent="0.25">
      <c r="B201" s="227">
        <v>185</v>
      </c>
      <c r="C201" s="227" t="s">
        <v>42</v>
      </c>
      <c r="D201" s="28">
        <v>30439724</v>
      </c>
      <c r="E201" s="247" t="s">
        <v>1476</v>
      </c>
      <c r="F201" s="247" t="s">
        <v>54</v>
      </c>
      <c r="G201" s="229" t="s">
        <v>1237</v>
      </c>
      <c r="H201" s="247" t="s">
        <v>1394</v>
      </c>
      <c r="I201" s="247" t="s">
        <v>57</v>
      </c>
      <c r="J201" s="248">
        <v>171488</v>
      </c>
      <c r="K201" s="248">
        <v>53188</v>
      </c>
      <c r="L201" s="248">
        <f t="shared" si="10"/>
        <v>118300</v>
      </c>
      <c r="M201" s="249"/>
      <c r="N201" s="249"/>
      <c r="O201" s="249"/>
      <c r="P201" s="249"/>
      <c r="Q201" s="249"/>
      <c r="R201" s="249"/>
      <c r="S201" s="249"/>
      <c r="T201" s="249"/>
      <c r="U201" s="249"/>
      <c r="V201" s="249"/>
      <c r="W201" s="249"/>
      <c r="X201" s="249"/>
      <c r="Y201" s="249">
        <f t="shared" si="11"/>
        <v>0</v>
      </c>
      <c r="Z201" s="249">
        <v>1</v>
      </c>
      <c r="AA201" s="249" t="s">
        <v>1458</v>
      </c>
      <c r="AB201" s="250">
        <v>44232</v>
      </c>
      <c r="AC201" s="251">
        <v>44249</v>
      </c>
      <c r="AD201" s="249"/>
      <c r="AE201" s="249"/>
      <c r="AF201" s="250"/>
      <c r="AG201" s="250"/>
      <c r="AH201" s="249"/>
      <c r="AI201" s="249"/>
      <c r="AJ201" s="250"/>
      <c r="AK201" s="249"/>
      <c r="AL201" s="249"/>
      <c r="AM201" s="249"/>
      <c r="AN201" s="249"/>
      <c r="AO201" s="249"/>
      <c r="AP201" s="249"/>
      <c r="AQ201" s="249"/>
      <c r="AR201" s="249"/>
      <c r="AS201" s="249"/>
      <c r="AT201" s="249">
        <v>1</v>
      </c>
      <c r="AU201" s="249">
        <f t="shared" si="12"/>
        <v>1</v>
      </c>
      <c r="AV201" s="269">
        <f t="shared" si="13"/>
        <v>1</v>
      </c>
      <c r="AW201" s="269">
        <f t="shared" si="14"/>
        <v>0</v>
      </c>
    </row>
    <row r="202" spans="2:49" s="140" customFormat="1" ht="22.5" x14ac:dyDescent="0.25">
      <c r="B202" s="227">
        <v>186</v>
      </c>
      <c r="C202" s="227" t="s">
        <v>39</v>
      </c>
      <c r="D202" s="28">
        <v>40012167</v>
      </c>
      <c r="E202" s="247" t="s">
        <v>1477</v>
      </c>
      <c r="F202" s="247" t="s">
        <v>54</v>
      </c>
      <c r="G202" s="229" t="s">
        <v>1237</v>
      </c>
      <c r="H202" s="247" t="s">
        <v>1329</v>
      </c>
      <c r="I202" s="247" t="s">
        <v>72</v>
      </c>
      <c r="J202" s="248">
        <v>163993</v>
      </c>
      <c r="K202" s="248"/>
      <c r="L202" s="248">
        <f t="shared" si="10"/>
        <v>163993</v>
      </c>
      <c r="M202" s="249"/>
      <c r="N202" s="249"/>
      <c r="O202" s="249"/>
      <c r="P202" s="249"/>
      <c r="Q202" s="249"/>
      <c r="R202" s="249"/>
      <c r="S202" s="249"/>
      <c r="T202" s="249"/>
      <c r="U202" s="249"/>
      <c r="V202" s="249"/>
      <c r="W202" s="249"/>
      <c r="X202" s="249"/>
      <c r="Y202" s="249">
        <f t="shared" si="11"/>
        <v>0</v>
      </c>
      <c r="Z202" s="249">
        <v>3</v>
      </c>
      <c r="AA202" s="249" t="s">
        <v>1458</v>
      </c>
      <c r="AB202" s="250">
        <v>44232</v>
      </c>
      <c r="AC202" s="251">
        <v>44249</v>
      </c>
      <c r="AD202" s="249"/>
      <c r="AE202" s="249"/>
      <c r="AF202" s="250"/>
      <c r="AG202" s="250"/>
      <c r="AH202" s="249"/>
      <c r="AI202" s="249"/>
      <c r="AJ202" s="250"/>
      <c r="AK202" s="249"/>
      <c r="AL202" s="249"/>
      <c r="AM202" s="249"/>
      <c r="AN202" s="249"/>
      <c r="AO202" s="249"/>
      <c r="AP202" s="249"/>
      <c r="AQ202" s="249"/>
      <c r="AR202" s="249"/>
      <c r="AS202" s="249"/>
      <c r="AT202" s="249">
        <v>3</v>
      </c>
      <c r="AU202" s="249">
        <f t="shared" si="12"/>
        <v>3</v>
      </c>
      <c r="AV202" s="269">
        <f t="shared" si="13"/>
        <v>3</v>
      </c>
      <c r="AW202" s="269">
        <f t="shared" si="14"/>
        <v>0</v>
      </c>
    </row>
    <row r="203" spans="2:49" s="140" customFormat="1" ht="22.5" x14ac:dyDescent="0.25">
      <c r="B203" s="227">
        <v>187</v>
      </c>
      <c r="C203" s="227" t="s">
        <v>39</v>
      </c>
      <c r="D203" s="28">
        <v>30384174</v>
      </c>
      <c r="E203" s="247" t="s">
        <v>1478</v>
      </c>
      <c r="F203" s="247" t="s">
        <v>54</v>
      </c>
      <c r="G203" s="229" t="s">
        <v>1237</v>
      </c>
      <c r="H203" s="247" t="s">
        <v>1298</v>
      </c>
      <c r="I203" s="247" t="s">
        <v>72</v>
      </c>
      <c r="J203" s="248">
        <v>745817</v>
      </c>
      <c r="K203" s="248"/>
      <c r="L203" s="248">
        <f t="shared" si="10"/>
        <v>745817</v>
      </c>
      <c r="M203" s="249"/>
      <c r="N203" s="249"/>
      <c r="O203" s="249"/>
      <c r="P203" s="249"/>
      <c r="Q203" s="249"/>
      <c r="R203" s="249"/>
      <c r="S203" s="249"/>
      <c r="T203" s="249"/>
      <c r="U203" s="249"/>
      <c r="V203" s="249"/>
      <c r="W203" s="249"/>
      <c r="X203" s="249"/>
      <c r="Y203" s="249">
        <f t="shared" si="11"/>
        <v>0</v>
      </c>
      <c r="Z203" s="249">
        <v>3</v>
      </c>
      <c r="AA203" s="249" t="s">
        <v>1458</v>
      </c>
      <c r="AB203" s="250">
        <v>44232</v>
      </c>
      <c r="AC203" s="251">
        <v>44249</v>
      </c>
      <c r="AD203" s="249"/>
      <c r="AE203" s="249"/>
      <c r="AF203" s="250"/>
      <c r="AG203" s="250"/>
      <c r="AH203" s="249"/>
      <c r="AI203" s="249"/>
      <c r="AJ203" s="250"/>
      <c r="AK203" s="249"/>
      <c r="AL203" s="249"/>
      <c r="AM203" s="249"/>
      <c r="AN203" s="249"/>
      <c r="AO203" s="249"/>
      <c r="AP203" s="249"/>
      <c r="AQ203" s="249"/>
      <c r="AR203" s="249"/>
      <c r="AS203" s="249"/>
      <c r="AT203" s="249">
        <v>3</v>
      </c>
      <c r="AU203" s="249">
        <f t="shared" si="12"/>
        <v>3</v>
      </c>
      <c r="AV203" s="269">
        <f t="shared" si="13"/>
        <v>3</v>
      </c>
      <c r="AW203" s="269">
        <f t="shared" si="14"/>
        <v>0</v>
      </c>
    </row>
    <row r="204" spans="2:49" s="140" customFormat="1" x14ac:dyDescent="0.25">
      <c r="B204" s="227">
        <v>188</v>
      </c>
      <c r="C204" s="227" t="s">
        <v>39</v>
      </c>
      <c r="D204" s="28">
        <v>30060848</v>
      </c>
      <c r="E204" s="247" t="s">
        <v>1479</v>
      </c>
      <c r="F204" s="247" t="s">
        <v>54</v>
      </c>
      <c r="G204" s="229" t="s">
        <v>1237</v>
      </c>
      <c r="H204" s="247" t="s">
        <v>1298</v>
      </c>
      <c r="I204" s="247" t="s">
        <v>72</v>
      </c>
      <c r="J204" s="248">
        <v>346982</v>
      </c>
      <c r="K204" s="248"/>
      <c r="L204" s="248">
        <f t="shared" si="10"/>
        <v>346982</v>
      </c>
      <c r="M204" s="249"/>
      <c r="N204" s="249"/>
      <c r="O204" s="249"/>
      <c r="P204" s="249"/>
      <c r="Q204" s="249"/>
      <c r="R204" s="249"/>
      <c r="S204" s="249"/>
      <c r="T204" s="249"/>
      <c r="U204" s="249"/>
      <c r="V204" s="249"/>
      <c r="W204" s="249"/>
      <c r="X204" s="249"/>
      <c r="Y204" s="249">
        <f t="shared" si="11"/>
        <v>0</v>
      </c>
      <c r="Z204" s="249">
        <v>3</v>
      </c>
      <c r="AA204" s="249" t="s">
        <v>1458</v>
      </c>
      <c r="AB204" s="250">
        <v>44232</v>
      </c>
      <c r="AC204" s="251">
        <v>44249</v>
      </c>
      <c r="AD204" s="249">
        <v>42053</v>
      </c>
      <c r="AE204" s="249" t="s">
        <v>1336</v>
      </c>
      <c r="AF204" s="250">
        <v>44306</v>
      </c>
      <c r="AG204" s="250"/>
      <c r="AH204" s="249"/>
      <c r="AI204" s="249"/>
      <c r="AJ204" s="250"/>
      <c r="AK204" s="249"/>
      <c r="AL204" s="249"/>
      <c r="AM204" s="249"/>
      <c r="AN204" s="249"/>
      <c r="AO204" s="249"/>
      <c r="AP204" s="249"/>
      <c r="AQ204" s="249"/>
      <c r="AR204" s="249"/>
      <c r="AS204" s="249"/>
      <c r="AT204" s="249">
        <v>42056</v>
      </c>
      <c r="AU204" s="249">
        <f t="shared" si="12"/>
        <v>42056</v>
      </c>
      <c r="AV204" s="269">
        <f t="shared" si="13"/>
        <v>42056</v>
      </c>
      <c r="AW204" s="269">
        <f t="shared" si="14"/>
        <v>0</v>
      </c>
    </row>
    <row r="205" spans="2:49" s="140" customFormat="1" ht="22.5" x14ac:dyDescent="0.25">
      <c r="B205" s="227">
        <v>189</v>
      </c>
      <c r="C205" s="227" t="s">
        <v>39</v>
      </c>
      <c r="D205" s="28">
        <v>30436326</v>
      </c>
      <c r="E205" s="247" t="s">
        <v>1480</v>
      </c>
      <c r="F205" s="247" t="s">
        <v>54</v>
      </c>
      <c r="G205" s="229" t="s">
        <v>1237</v>
      </c>
      <c r="H205" s="247" t="s">
        <v>1331</v>
      </c>
      <c r="I205" s="247" t="s">
        <v>72</v>
      </c>
      <c r="J205" s="248">
        <v>288272</v>
      </c>
      <c r="K205" s="248"/>
      <c r="L205" s="248">
        <f t="shared" si="10"/>
        <v>288272</v>
      </c>
      <c r="M205" s="249"/>
      <c r="N205" s="249"/>
      <c r="O205" s="249"/>
      <c r="P205" s="249"/>
      <c r="Q205" s="249"/>
      <c r="R205" s="249"/>
      <c r="S205" s="249"/>
      <c r="T205" s="249"/>
      <c r="U205" s="249"/>
      <c r="V205" s="249"/>
      <c r="W205" s="249"/>
      <c r="X205" s="249"/>
      <c r="Y205" s="249">
        <f t="shared" si="11"/>
        <v>0</v>
      </c>
      <c r="Z205" s="249">
        <v>3</v>
      </c>
      <c r="AA205" s="249" t="s">
        <v>1458</v>
      </c>
      <c r="AB205" s="250">
        <v>44232</v>
      </c>
      <c r="AC205" s="251">
        <v>44249</v>
      </c>
      <c r="AD205" s="249"/>
      <c r="AE205" s="249"/>
      <c r="AF205" s="250"/>
      <c r="AG205" s="250"/>
      <c r="AH205" s="249"/>
      <c r="AI205" s="249"/>
      <c r="AJ205" s="250"/>
      <c r="AK205" s="249"/>
      <c r="AL205" s="249"/>
      <c r="AM205" s="249"/>
      <c r="AN205" s="249"/>
      <c r="AO205" s="249"/>
      <c r="AP205" s="249"/>
      <c r="AQ205" s="249"/>
      <c r="AR205" s="249"/>
      <c r="AS205" s="249"/>
      <c r="AT205" s="249">
        <v>3</v>
      </c>
      <c r="AU205" s="249">
        <f t="shared" si="12"/>
        <v>3</v>
      </c>
      <c r="AV205" s="269">
        <f t="shared" si="13"/>
        <v>3</v>
      </c>
      <c r="AW205" s="269">
        <f t="shared" si="14"/>
        <v>0</v>
      </c>
    </row>
    <row r="206" spans="2:49" s="140" customFormat="1" ht="22.5" x14ac:dyDescent="0.25">
      <c r="B206" s="227">
        <v>190</v>
      </c>
      <c r="C206" s="227" t="s">
        <v>39</v>
      </c>
      <c r="D206" s="28">
        <v>40005658</v>
      </c>
      <c r="E206" s="247" t="s">
        <v>1481</v>
      </c>
      <c r="F206" s="247" t="s">
        <v>54</v>
      </c>
      <c r="G206" s="229" t="s">
        <v>1237</v>
      </c>
      <c r="H206" s="247" t="s">
        <v>1260</v>
      </c>
      <c r="I206" s="247" t="s">
        <v>72</v>
      </c>
      <c r="J206" s="248">
        <v>105153</v>
      </c>
      <c r="K206" s="248"/>
      <c r="L206" s="248">
        <f t="shared" si="10"/>
        <v>105153</v>
      </c>
      <c r="M206" s="249"/>
      <c r="N206" s="249"/>
      <c r="O206" s="249"/>
      <c r="P206" s="249"/>
      <c r="Q206" s="249"/>
      <c r="R206" s="249"/>
      <c r="S206" s="249"/>
      <c r="T206" s="249"/>
      <c r="U206" s="249"/>
      <c r="V206" s="249"/>
      <c r="W206" s="249"/>
      <c r="X206" s="249"/>
      <c r="Y206" s="249">
        <f t="shared" si="11"/>
        <v>0</v>
      </c>
      <c r="Z206" s="249">
        <v>3</v>
      </c>
      <c r="AA206" s="249" t="s">
        <v>1458</v>
      </c>
      <c r="AB206" s="250">
        <v>44232</v>
      </c>
      <c r="AC206" s="251">
        <v>44249</v>
      </c>
      <c r="AD206" s="249"/>
      <c r="AE206" s="249"/>
      <c r="AF206" s="250"/>
      <c r="AG206" s="250"/>
      <c r="AH206" s="249"/>
      <c r="AI206" s="249"/>
      <c r="AJ206" s="250"/>
      <c r="AK206" s="249"/>
      <c r="AL206" s="249"/>
      <c r="AM206" s="249"/>
      <c r="AN206" s="249"/>
      <c r="AO206" s="249"/>
      <c r="AP206" s="249"/>
      <c r="AQ206" s="249"/>
      <c r="AR206" s="249"/>
      <c r="AS206" s="249"/>
      <c r="AT206" s="249">
        <v>3</v>
      </c>
      <c r="AU206" s="249">
        <f t="shared" si="12"/>
        <v>3</v>
      </c>
      <c r="AV206" s="269">
        <f t="shared" si="13"/>
        <v>3</v>
      </c>
      <c r="AW206" s="269">
        <f t="shared" si="14"/>
        <v>0</v>
      </c>
    </row>
    <row r="207" spans="2:49" s="140" customFormat="1" x14ac:dyDescent="0.25">
      <c r="B207" s="227">
        <v>191</v>
      </c>
      <c r="C207" s="227" t="s">
        <v>39</v>
      </c>
      <c r="D207" s="28">
        <v>30486351</v>
      </c>
      <c r="E207" s="247" t="s">
        <v>1482</v>
      </c>
      <c r="F207" s="247" t="s">
        <v>54</v>
      </c>
      <c r="G207" s="229" t="s">
        <v>1237</v>
      </c>
      <c r="H207" s="247" t="s">
        <v>1260</v>
      </c>
      <c r="I207" s="247" t="s">
        <v>72</v>
      </c>
      <c r="J207" s="248">
        <v>87660</v>
      </c>
      <c r="K207" s="248"/>
      <c r="L207" s="248">
        <f t="shared" si="10"/>
        <v>87660</v>
      </c>
      <c r="M207" s="249"/>
      <c r="N207" s="249"/>
      <c r="O207" s="249"/>
      <c r="P207" s="249"/>
      <c r="Q207" s="249"/>
      <c r="R207" s="249"/>
      <c r="S207" s="249"/>
      <c r="T207" s="249"/>
      <c r="U207" s="249"/>
      <c r="V207" s="249"/>
      <c r="W207" s="249"/>
      <c r="X207" s="249"/>
      <c r="Y207" s="249">
        <f t="shared" si="11"/>
        <v>0</v>
      </c>
      <c r="Z207" s="249">
        <v>4</v>
      </c>
      <c r="AA207" s="249" t="s">
        <v>1458</v>
      </c>
      <c r="AB207" s="250">
        <v>44232</v>
      </c>
      <c r="AC207" s="251">
        <v>44249</v>
      </c>
      <c r="AD207" s="249"/>
      <c r="AE207" s="249"/>
      <c r="AF207" s="250"/>
      <c r="AG207" s="250"/>
      <c r="AH207" s="249"/>
      <c r="AI207" s="249"/>
      <c r="AJ207" s="250"/>
      <c r="AK207" s="249"/>
      <c r="AL207" s="249"/>
      <c r="AM207" s="249"/>
      <c r="AN207" s="249"/>
      <c r="AO207" s="249"/>
      <c r="AP207" s="249"/>
      <c r="AQ207" s="249"/>
      <c r="AR207" s="249"/>
      <c r="AS207" s="249"/>
      <c r="AT207" s="249">
        <v>4</v>
      </c>
      <c r="AU207" s="249">
        <f t="shared" si="12"/>
        <v>4</v>
      </c>
      <c r="AV207" s="269">
        <f t="shared" si="13"/>
        <v>4</v>
      </c>
      <c r="AW207" s="269">
        <f t="shared" si="14"/>
        <v>0</v>
      </c>
    </row>
    <row r="208" spans="2:49" s="140" customFormat="1" ht="22.5" x14ac:dyDescent="0.25">
      <c r="B208" s="227">
        <v>192</v>
      </c>
      <c r="C208" s="227" t="s">
        <v>39</v>
      </c>
      <c r="D208" s="28">
        <v>30488890</v>
      </c>
      <c r="E208" s="247" t="s">
        <v>1483</v>
      </c>
      <c r="F208" s="247" t="s">
        <v>1256</v>
      </c>
      <c r="G208" s="229" t="s">
        <v>1237</v>
      </c>
      <c r="H208" s="247" t="s">
        <v>1260</v>
      </c>
      <c r="I208" s="247" t="s">
        <v>72</v>
      </c>
      <c r="J208" s="248">
        <v>22038</v>
      </c>
      <c r="K208" s="248"/>
      <c r="L208" s="248">
        <f t="shared" si="10"/>
        <v>22038</v>
      </c>
      <c r="M208" s="249"/>
      <c r="N208" s="249"/>
      <c r="O208" s="249"/>
      <c r="P208" s="249"/>
      <c r="Q208" s="249"/>
      <c r="R208" s="249"/>
      <c r="S208" s="249"/>
      <c r="T208" s="249"/>
      <c r="U208" s="249"/>
      <c r="V208" s="249"/>
      <c r="W208" s="249"/>
      <c r="X208" s="249"/>
      <c r="Y208" s="249">
        <f t="shared" si="11"/>
        <v>0</v>
      </c>
      <c r="Z208" s="249">
        <v>2</v>
      </c>
      <c r="AA208" s="249" t="s">
        <v>1458</v>
      </c>
      <c r="AB208" s="250">
        <v>44232</v>
      </c>
      <c r="AC208" s="251">
        <v>44249</v>
      </c>
      <c r="AD208" s="249"/>
      <c r="AE208" s="249"/>
      <c r="AF208" s="250"/>
      <c r="AG208" s="250"/>
      <c r="AH208" s="249"/>
      <c r="AI208" s="249"/>
      <c r="AJ208" s="250"/>
      <c r="AK208" s="249"/>
      <c r="AL208" s="249"/>
      <c r="AM208" s="249"/>
      <c r="AN208" s="249"/>
      <c r="AO208" s="249"/>
      <c r="AP208" s="249"/>
      <c r="AQ208" s="249"/>
      <c r="AR208" s="249"/>
      <c r="AS208" s="249"/>
      <c r="AT208" s="249">
        <v>2</v>
      </c>
      <c r="AU208" s="249">
        <f t="shared" si="12"/>
        <v>2</v>
      </c>
      <c r="AV208" s="269">
        <f t="shared" si="13"/>
        <v>2</v>
      </c>
      <c r="AW208" s="269">
        <f t="shared" si="14"/>
        <v>0</v>
      </c>
    </row>
    <row r="209" spans="2:49" s="140" customFormat="1" x14ac:dyDescent="0.25">
      <c r="B209" s="227">
        <v>193</v>
      </c>
      <c r="C209" s="227" t="s">
        <v>39</v>
      </c>
      <c r="D209" s="28">
        <v>30469634</v>
      </c>
      <c r="E209" s="247" t="s">
        <v>1484</v>
      </c>
      <c r="F209" s="247" t="s">
        <v>54</v>
      </c>
      <c r="G209" s="229" t="s">
        <v>1237</v>
      </c>
      <c r="H209" s="247" t="s">
        <v>1260</v>
      </c>
      <c r="I209" s="247" t="s">
        <v>72</v>
      </c>
      <c r="J209" s="248">
        <v>302423</v>
      </c>
      <c r="K209" s="248"/>
      <c r="L209" s="248">
        <f t="shared" si="10"/>
        <v>302423</v>
      </c>
      <c r="M209" s="249"/>
      <c r="N209" s="249"/>
      <c r="O209" s="249"/>
      <c r="P209" s="249"/>
      <c r="Q209" s="249"/>
      <c r="R209" s="249"/>
      <c r="S209" s="249"/>
      <c r="T209" s="249"/>
      <c r="U209" s="249"/>
      <c r="V209" s="249"/>
      <c r="W209" s="249"/>
      <c r="X209" s="249"/>
      <c r="Y209" s="249">
        <f t="shared" si="11"/>
        <v>0</v>
      </c>
      <c r="Z209" s="249">
        <v>3</v>
      </c>
      <c r="AA209" s="249" t="s">
        <v>1458</v>
      </c>
      <c r="AB209" s="250">
        <v>44232</v>
      </c>
      <c r="AC209" s="251">
        <v>44249</v>
      </c>
      <c r="AD209" s="249"/>
      <c r="AE209" s="249"/>
      <c r="AF209" s="250"/>
      <c r="AG209" s="250"/>
      <c r="AH209" s="249"/>
      <c r="AI209" s="249"/>
      <c r="AJ209" s="250"/>
      <c r="AK209" s="249"/>
      <c r="AL209" s="249"/>
      <c r="AM209" s="249"/>
      <c r="AN209" s="249"/>
      <c r="AO209" s="249"/>
      <c r="AP209" s="249"/>
      <c r="AQ209" s="249"/>
      <c r="AR209" s="249"/>
      <c r="AS209" s="249"/>
      <c r="AT209" s="249">
        <v>3</v>
      </c>
      <c r="AU209" s="249">
        <f t="shared" si="12"/>
        <v>3</v>
      </c>
      <c r="AV209" s="269">
        <f t="shared" si="13"/>
        <v>3</v>
      </c>
      <c r="AW209" s="269">
        <f t="shared" si="14"/>
        <v>0</v>
      </c>
    </row>
    <row r="210" spans="2:49" s="140" customFormat="1" ht="22.5" x14ac:dyDescent="0.25">
      <c r="B210" s="227">
        <v>194</v>
      </c>
      <c r="C210" s="227" t="s">
        <v>39</v>
      </c>
      <c r="D210" s="28">
        <v>30487016</v>
      </c>
      <c r="E210" s="247" t="s">
        <v>1485</v>
      </c>
      <c r="F210" s="247" t="s">
        <v>54</v>
      </c>
      <c r="G210" s="229" t="s">
        <v>1237</v>
      </c>
      <c r="H210" s="247" t="s">
        <v>1319</v>
      </c>
      <c r="I210" s="247" t="s">
        <v>72</v>
      </c>
      <c r="J210" s="248">
        <v>993082</v>
      </c>
      <c r="K210" s="248"/>
      <c r="L210" s="248">
        <f t="shared" ref="L210:L273" si="15">J210-K210</f>
        <v>993082</v>
      </c>
      <c r="M210" s="249"/>
      <c r="N210" s="249"/>
      <c r="O210" s="249"/>
      <c r="P210" s="249"/>
      <c r="Q210" s="249"/>
      <c r="R210" s="249"/>
      <c r="S210" s="249"/>
      <c r="T210" s="249"/>
      <c r="U210" s="249"/>
      <c r="V210" s="249"/>
      <c r="W210" s="249"/>
      <c r="X210" s="249"/>
      <c r="Y210" s="249">
        <f t="shared" ref="Y210:Y273" si="16">SUM(M210:X210)</f>
        <v>0</v>
      </c>
      <c r="Z210" s="249">
        <v>3</v>
      </c>
      <c r="AA210" s="249" t="s">
        <v>1458</v>
      </c>
      <c r="AB210" s="250">
        <v>44232</v>
      </c>
      <c r="AC210" s="251">
        <v>44249</v>
      </c>
      <c r="AD210" s="249">
        <v>20697</v>
      </c>
      <c r="AE210" s="249" t="s">
        <v>1486</v>
      </c>
      <c r="AF210" s="250">
        <v>44253</v>
      </c>
      <c r="AG210" s="250">
        <v>44273</v>
      </c>
      <c r="AH210" s="249"/>
      <c r="AI210" s="249"/>
      <c r="AJ210" s="250"/>
      <c r="AK210" s="249"/>
      <c r="AL210" s="249"/>
      <c r="AM210" s="249"/>
      <c r="AN210" s="249"/>
      <c r="AO210" s="249"/>
      <c r="AP210" s="249"/>
      <c r="AQ210" s="249"/>
      <c r="AR210" s="249"/>
      <c r="AS210" s="249"/>
      <c r="AT210" s="249">
        <v>20700</v>
      </c>
      <c r="AU210" s="249">
        <f t="shared" ref="AU210:AU273" si="17">AT210-Y210</f>
        <v>20700</v>
      </c>
      <c r="AV210" s="269">
        <f t="shared" ref="AV210:AV273" si="18">Z210+AD210</f>
        <v>20700</v>
      </c>
      <c r="AW210" s="269">
        <f t="shared" ref="AW210:AW273" si="19">AV210-AT210</f>
        <v>0</v>
      </c>
    </row>
    <row r="211" spans="2:49" s="140" customFormat="1" x14ac:dyDescent="0.25">
      <c r="B211" s="227">
        <v>195</v>
      </c>
      <c r="C211" s="227" t="s">
        <v>39</v>
      </c>
      <c r="D211" s="28">
        <v>40010901</v>
      </c>
      <c r="E211" s="247" t="s">
        <v>1487</v>
      </c>
      <c r="F211" s="247" t="s">
        <v>54</v>
      </c>
      <c r="G211" s="229" t="s">
        <v>1237</v>
      </c>
      <c r="H211" s="247" t="s">
        <v>1488</v>
      </c>
      <c r="I211" s="247" t="s">
        <v>72</v>
      </c>
      <c r="J211" s="248">
        <v>5603602</v>
      </c>
      <c r="K211" s="248"/>
      <c r="L211" s="248">
        <f t="shared" si="15"/>
        <v>5603602</v>
      </c>
      <c r="M211" s="249"/>
      <c r="N211" s="249"/>
      <c r="O211" s="249"/>
      <c r="P211" s="249"/>
      <c r="Q211" s="249"/>
      <c r="R211" s="249"/>
      <c r="S211" s="249"/>
      <c r="T211" s="249"/>
      <c r="U211" s="249"/>
      <c r="V211" s="249"/>
      <c r="W211" s="249"/>
      <c r="X211" s="249"/>
      <c r="Y211" s="249">
        <f t="shared" si="16"/>
        <v>0</v>
      </c>
      <c r="Z211" s="249">
        <v>3</v>
      </c>
      <c r="AA211" s="249" t="s">
        <v>1458</v>
      </c>
      <c r="AB211" s="250">
        <v>44232</v>
      </c>
      <c r="AC211" s="251">
        <v>44249</v>
      </c>
      <c r="AD211" s="249"/>
      <c r="AE211" s="249"/>
      <c r="AF211" s="250"/>
      <c r="AG211" s="250"/>
      <c r="AH211" s="249"/>
      <c r="AI211" s="249"/>
      <c r="AJ211" s="250"/>
      <c r="AK211" s="249"/>
      <c r="AL211" s="249"/>
      <c r="AM211" s="249"/>
      <c r="AN211" s="249"/>
      <c r="AO211" s="249"/>
      <c r="AP211" s="249"/>
      <c r="AQ211" s="249"/>
      <c r="AR211" s="249"/>
      <c r="AS211" s="249"/>
      <c r="AT211" s="249">
        <v>3</v>
      </c>
      <c r="AU211" s="249">
        <f t="shared" si="17"/>
        <v>3</v>
      </c>
      <c r="AV211" s="269">
        <f t="shared" si="18"/>
        <v>3</v>
      </c>
      <c r="AW211" s="269">
        <f t="shared" si="19"/>
        <v>0</v>
      </c>
    </row>
    <row r="212" spans="2:49" s="140" customFormat="1" x14ac:dyDescent="0.25">
      <c r="B212" s="227">
        <v>196</v>
      </c>
      <c r="C212" s="227" t="s">
        <v>39</v>
      </c>
      <c r="D212" s="28">
        <v>40006048</v>
      </c>
      <c r="E212" s="247" t="s">
        <v>1489</v>
      </c>
      <c r="F212" s="247" t="s">
        <v>54</v>
      </c>
      <c r="G212" s="229" t="s">
        <v>1237</v>
      </c>
      <c r="H212" s="247" t="s">
        <v>1396</v>
      </c>
      <c r="I212" s="247" t="s">
        <v>72</v>
      </c>
      <c r="J212" s="248">
        <v>835921</v>
      </c>
      <c r="K212" s="248"/>
      <c r="L212" s="248">
        <f t="shared" si="15"/>
        <v>835921</v>
      </c>
      <c r="M212" s="249"/>
      <c r="N212" s="249"/>
      <c r="O212" s="249">
        <v>1846.75</v>
      </c>
      <c r="P212" s="249"/>
      <c r="Q212" s="249"/>
      <c r="R212" s="249"/>
      <c r="S212" s="249"/>
      <c r="T212" s="249"/>
      <c r="U212" s="249"/>
      <c r="V212" s="249"/>
      <c r="W212" s="249"/>
      <c r="X212" s="249"/>
      <c r="Y212" s="249">
        <f t="shared" si="16"/>
        <v>1846.75</v>
      </c>
      <c r="Z212" s="249">
        <v>3</v>
      </c>
      <c r="AA212" s="249" t="s">
        <v>1458</v>
      </c>
      <c r="AB212" s="250">
        <v>44232</v>
      </c>
      <c r="AC212" s="251">
        <v>44249</v>
      </c>
      <c r="AD212" s="249">
        <v>313076</v>
      </c>
      <c r="AE212" s="249" t="s">
        <v>1308</v>
      </c>
      <c r="AF212" s="250">
        <v>44253</v>
      </c>
      <c r="AG212" s="251">
        <v>44286</v>
      </c>
      <c r="AH212" s="249"/>
      <c r="AI212" s="249"/>
      <c r="AJ212" s="250"/>
      <c r="AK212" s="249"/>
      <c r="AL212" s="249"/>
      <c r="AM212" s="249"/>
      <c r="AN212" s="249"/>
      <c r="AO212" s="249"/>
      <c r="AP212" s="249"/>
      <c r="AQ212" s="249"/>
      <c r="AR212" s="249"/>
      <c r="AS212" s="249"/>
      <c r="AT212" s="249">
        <v>313079</v>
      </c>
      <c r="AU212" s="249">
        <f t="shared" si="17"/>
        <v>311232.25</v>
      </c>
      <c r="AV212" s="269">
        <f t="shared" si="18"/>
        <v>313079</v>
      </c>
      <c r="AW212" s="269">
        <f t="shared" si="19"/>
        <v>0</v>
      </c>
    </row>
    <row r="213" spans="2:49" s="140" customFormat="1" x14ac:dyDescent="0.25">
      <c r="B213" s="227">
        <v>197</v>
      </c>
      <c r="C213" s="227" t="s">
        <v>39</v>
      </c>
      <c r="D213" s="28">
        <v>40016451</v>
      </c>
      <c r="E213" s="247" t="s">
        <v>1490</v>
      </c>
      <c r="F213" s="247" t="s">
        <v>54</v>
      </c>
      <c r="G213" s="229" t="s">
        <v>1237</v>
      </c>
      <c r="H213" s="247" t="s">
        <v>1396</v>
      </c>
      <c r="I213" s="247" t="s">
        <v>72</v>
      </c>
      <c r="J213" s="248">
        <v>426724</v>
      </c>
      <c r="K213" s="248"/>
      <c r="L213" s="248">
        <f t="shared" si="15"/>
        <v>426724</v>
      </c>
      <c r="M213" s="249"/>
      <c r="N213" s="249"/>
      <c r="O213" s="249"/>
      <c r="P213" s="249"/>
      <c r="Q213" s="249"/>
      <c r="R213" s="249"/>
      <c r="S213" s="249"/>
      <c r="T213" s="249"/>
      <c r="U213" s="249"/>
      <c r="V213" s="249"/>
      <c r="W213" s="249"/>
      <c r="X213" s="249"/>
      <c r="Y213" s="249">
        <f t="shared" si="16"/>
        <v>0</v>
      </c>
      <c r="Z213" s="249">
        <v>1</v>
      </c>
      <c r="AA213" s="249" t="s">
        <v>1458</v>
      </c>
      <c r="AB213" s="250">
        <v>44232</v>
      </c>
      <c r="AC213" s="251">
        <v>44249</v>
      </c>
      <c r="AD213" s="249">
        <v>214442</v>
      </c>
      <c r="AE213" s="249" t="s">
        <v>1308</v>
      </c>
      <c r="AF213" s="250">
        <v>44253</v>
      </c>
      <c r="AG213" s="251">
        <v>44286</v>
      </c>
      <c r="AH213" s="249"/>
      <c r="AI213" s="249"/>
      <c r="AJ213" s="250"/>
      <c r="AK213" s="249"/>
      <c r="AL213" s="249"/>
      <c r="AM213" s="249"/>
      <c r="AN213" s="249"/>
      <c r="AO213" s="249"/>
      <c r="AP213" s="249"/>
      <c r="AQ213" s="249"/>
      <c r="AR213" s="249"/>
      <c r="AS213" s="249"/>
      <c r="AT213" s="249">
        <v>214443</v>
      </c>
      <c r="AU213" s="249">
        <f t="shared" si="17"/>
        <v>214443</v>
      </c>
      <c r="AV213" s="269">
        <f t="shared" si="18"/>
        <v>214443</v>
      </c>
      <c r="AW213" s="269">
        <f t="shared" si="19"/>
        <v>0</v>
      </c>
    </row>
    <row r="214" spans="2:49" s="140" customFormat="1" x14ac:dyDescent="0.25">
      <c r="B214" s="227">
        <v>198</v>
      </c>
      <c r="C214" s="227" t="s">
        <v>39</v>
      </c>
      <c r="D214" s="28">
        <v>30452980</v>
      </c>
      <c r="E214" s="247" t="s">
        <v>1491</v>
      </c>
      <c r="F214" s="247" t="s">
        <v>54</v>
      </c>
      <c r="G214" s="229" t="s">
        <v>1237</v>
      </c>
      <c r="H214" s="247" t="s">
        <v>1237</v>
      </c>
      <c r="I214" s="247" t="s">
        <v>72</v>
      </c>
      <c r="J214" s="248">
        <v>134839</v>
      </c>
      <c r="K214" s="248"/>
      <c r="L214" s="248">
        <f t="shared" si="15"/>
        <v>134839</v>
      </c>
      <c r="M214" s="249"/>
      <c r="N214" s="249"/>
      <c r="O214" s="249"/>
      <c r="P214" s="249"/>
      <c r="Q214" s="249"/>
      <c r="R214" s="249"/>
      <c r="S214" s="249"/>
      <c r="T214" s="249"/>
      <c r="U214" s="249"/>
      <c r="V214" s="249"/>
      <c r="W214" s="249"/>
      <c r="X214" s="249"/>
      <c r="Y214" s="249">
        <f t="shared" si="16"/>
        <v>0</v>
      </c>
      <c r="Z214" s="249">
        <v>3</v>
      </c>
      <c r="AA214" s="249" t="s">
        <v>1458</v>
      </c>
      <c r="AB214" s="250">
        <v>44232</v>
      </c>
      <c r="AC214" s="251">
        <v>44249</v>
      </c>
      <c r="AD214" s="249"/>
      <c r="AE214" s="249"/>
      <c r="AF214" s="250"/>
      <c r="AG214" s="250"/>
      <c r="AH214" s="249"/>
      <c r="AI214" s="249"/>
      <c r="AJ214" s="250"/>
      <c r="AK214" s="249"/>
      <c r="AL214" s="249"/>
      <c r="AM214" s="249"/>
      <c r="AN214" s="249"/>
      <c r="AO214" s="249"/>
      <c r="AP214" s="249"/>
      <c r="AQ214" s="249"/>
      <c r="AR214" s="249"/>
      <c r="AS214" s="249"/>
      <c r="AT214" s="249">
        <v>3</v>
      </c>
      <c r="AU214" s="249">
        <f t="shared" si="17"/>
        <v>3</v>
      </c>
      <c r="AV214" s="269">
        <f t="shared" si="18"/>
        <v>3</v>
      </c>
      <c r="AW214" s="269">
        <f t="shared" si="19"/>
        <v>0</v>
      </c>
    </row>
    <row r="215" spans="2:49" s="140" customFormat="1" ht="22.5" x14ac:dyDescent="0.25">
      <c r="B215" s="227">
        <v>199</v>
      </c>
      <c r="C215" s="227" t="s">
        <v>39</v>
      </c>
      <c r="D215" s="28">
        <v>30464322</v>
      </c>
      <c r="E215" s="247" t="s">
        <v>1492</v>
      </c>
      <c r="F215" s="247" t="s">
        <v>54</v>
      </c>
      <c r="G215" s="229" t="s">
        <v>1237</v>
      </c>
      <c r="H215" s="247" t="s">
        <v>1237</v>
      </c>
      <c r="I215" s="247" t="s">
        <v>72</v>
      </c>
      <c r="J215" s="248">
        <v>1332568</v>
      </c>
      <c r="K215" s="248"/>
      <c r="L215" s="248">
        <f t="shared" si="15"/>
        <v>1332568</v>
      </c>
      <c r="M215" s="249"/>
      <c r="N215" s="249"/>
      <c r="O215" s="249"/>
      <c r="P215" s="249"/>
      <c r="Q215" s="249"/>
      <c r="R215" s="249"/>
      <c r="S215" s="249"/>
      <c r="T215" s="249"/>
      <c r="U215" s="249"/>
      <c r="V215" s="249"/>
      <c r="W215" s="249"/>
      <c r="X215" s="249"/>
      <c r="Y215" s="249">
        <f t="shared" si="16"/>
        <v>0</v>
      </c>
      <c r="Z215" s="249">
        <v>3</v>
      </c>
      <c r="AA215" s="249" t="s">
        <v>1458</v>
      </c>
      <c r="AB215" s="250">
        <v>44232</v>
      </c>
      <c r="AC215" s="251">
        <v>44249</v>
      </c>
      <c r="AD215" s="249"/>
      <c r="AE215" s="249"/>
      <c r="AF215" s="250"/>
      <c r="AG215" s="250"/>
      <c r="AH215" s="249"/>
      <c r="AI215" s="249"/>
      <c r="AJ215" s="250"/>
      <c r="AK215" s="249"/>
      <c r="AL215" s="249"/>
      <c r="AM215" s="249"/>
      <c r="AN215" s="249"/>
      <c r="AO215" s="249"/>
      <c r="AP215" s="249"/>
      <c r="AQ215" s="249"/>
      <c r="AR215" s="249"/>
      <c r="AS215" s="249"/>
      <c r="AT215" s="249">
        <v>3</v>
      </c>
      <c r="AU215" s="249">
        <f t="shared" si="17"/>
        <v>3</v>
      </c>
      <c r="AV215" s="269">
        <f t="shared" si="18"/>
        <v>3</v>
      </c>
      <c r="AW215" s="269">
        <f t="shared" si="19"/>
        <v>0</v>
      </c>
    </row>
    <row r="216" spans="2:49" s="140" customFormat="1" ht="22.5" x14ac:dyDescent="0.25">
      <c r="B216" s="227">
        <v>200</v>
      </c>
      <c r="C216" s="227" t="s">
        <v>39</v>
      </c>
      <c r="D216" s="28">
        <v>40017347</v>
      </c>
      <c r="E216" s="247" t="s">
        <v>1493</v>
      </c>
      <c r="F216" s="247" t="s">
        <v>1256</v>
      </c>
      <c r="G216" s="229" t="s">
        <v>1237</v>
      </c>
      <c r="H216" s="247" t="s">
        <v>1237</v>
      </c>
      <c r="I216" s="247" t="s">
        <v>72</v>
      </c>
      <c r="J216" s="248">
        <v>50784</v>
      </c>
      <c r="K216" s="248"/>
      <c r="L216" s="248">
        <f t="shared" si="15"/>
        <v>50784</v>
      </c>
      <c r="M216" s="249"/>
      <c r="N216" s="249"/>
      <c r="O216" s="249"/>
      <c r="P216" s="249"/>
      <c r="Q216" s="249"/>
      <c r="R216" s="249"/>
      <c r="S216" s="249"/>
      <c r="T216" s="249"/>
      <c r="U216" s="249"/>
      <c r="V216" s="249"/>
      <c r="W216" s="249"/>
      <c r="X216" s="249"/>
      <c r="Y216" s="249">
        <f t="shared" si="16"/>
        <v>0</v>
      </c>
      <c r="Z216" s="249">
        <v>2</v>
      </c>
      <c r="AA216" s="249" t="s">
        <v>1458</v>
      </c>
      <c r="AB216" s="250">
        <v>44232</v>
      </c>
      <c r="AC216" s="251">
        <v>44249</v>
      </c>
      <c r="AD216" s="249"/>
      <c r="AE216" s="249"/>
      <c r="AF216" s="250"/>
      <c r="AG216" s="250"/>
      <c r="AH216" s="249"/>
      <c r="AI216" s="249"/>
      <c r="AJ216" s="250"/>
      <c r="AK216" s="249"/>
      <c r="AL216" s="249"/>
      <c r="AM216" s="249"/>
      <c r="AN216" s="249"/>
      <c r="AO216" s="249"/>
      <c r="AP216" s="249"/>
      <c r="AQ216" s="249"/>
      <c r="AR216" s="249"/>
      <c r="AS216" s="249"/>
      <c r="AT216" s="249">
        <v>2</v>
      </c>
      <c r="AU216" s="249">
        <f t="shared" si="17"/>
        <v>2</v>
      </c>
      <c r="AV216" s="269">
        <f t="shared" si="18"/>
        <v>2</v>
      </c>
      <c r="AW216" s="269">
        <f t="shared" si="19"/>
        <v>0</v>
      </c>
    </row>
    <row r="217" spans="2:49" s="140" customFormat="1" ht="22.5" x14ac:dyDescent="0.25">
      <c r="B217" s="227">
        <v>201</v>
      </c>
      <c r="C217" s="227" t="s">
        <v>39</v>
      </c>
      <c r="D217" s="28">
        <v>40009387</v>
      </c>
      <c r="E217" s="247" t="s">
        <v>1494</v>
      </c>
      <c r="F217" s="247" t="s">
        <v>54</v>
      </c>
      <c r="G217" s="229" t="s">
        <v>1237</v>
      </c>
      <c r="H217" s="247" t="s">
        <v>1242</v>
      </c>
      <c r="I217" s="247" t="s">
        <v>72</v>
      </c>
      <c r="J217" s="248">
        <v>1100264</v>
      </c>
      <c r="K217" s="248"/>
      <c r="L217" s="248">
        <f t="shared" si="15"/>
        <v>1100264</v>
      </c>
      <c r="M217" s="249"/>
      <c r="N217" s="249"/>
      <c r="O217" s="249"/>
      <c r="P217" s="249"/>
      <c r="Q217" s="249"/>
      <c r="R217" s="249"/>
      <c r="S217" s="249"/>
      <c r="T217" s="249"/>
      <c r="U217" s="249"/>
      <c r="V217" s="249"/>
      <c r="W217" s="249"/>
      <c r="X217" s="249"/>
      <c r="Y217" s="249">
        <f t="shared" si="16"/>
        <v>0</v>
      </c>
      <c r="Z217" s="249">
        <v>3</v>
      </c>
      <c r="AA217" s="249" t="s">
        <v>1458</v>
      </c>
      <c r="AB217" s="250">
        <v>44232</v>
      </c>
      <c r="AC217" s="251">
        <v>44249</v>
      </c>
      <c r="AD217" s="249"/>
      <c r="AE217" s="249"/>
      <c r="AF217" s="250"/>
      <c r="AG217" s="250"/>
      <c r="AH217" s="249"/>
      <c r="AI217" s="249"/>
      <c r="AJ217" s="250"/>
      <c r="AK217" s="249"/>
      <c r="AL217" s="249"/>
      <c r="AM217" s="249"/>
      <c r="AN217" s="249"/>
      <c r="AO217" s="249"/>
      <c r="AP217" s="249"/>
      <c r="AQ217" s="249"/>
      <c r="AR217" s="249"/>
      <c r="AS217" s="249"/>
      <c r="AT217" s="249">
        <v>3</v>
      </c>
      <c r="AU217" s="249">
        <f t="shared" si="17"/>
        <v>3</v>
      </c>
      <c r="AV217" s="269">
        <f t="shared" si="18"/>
        <v>3</v>
      </c>
      <c r="AW217" s="269">
        <f t="shared" si="19"/>
        <v>0</v>
      </c>
    </row>
    <row r="218" spans="2:49" s="140" customFormat="1" ht="22.5" x14ac:dyDescent="0.25">
      <c r="B218" s="227">
        <v>202</v>
      </c>
      <c r="C218" s="227" t="s">
        <v>39</v>
      </c>
      <c r="D218" s="28">
        <v>30476439</v>
      </c>
      <c r="E218" s="247" t="s">
        <v>1495</v>
      </c>
      <c r="F218" s="247" t="s">
        <v>54</v>
      </c>
      <c r="G218" s="229" t="s">
        <v>1237</v>
      </c>
      <c r="H218" s="247" t="s">
        <v>1242</v>
      </c>
      <c r="I218" s="247" t="s">
        <v>72</v>
      </c>
      <c r="J218" s="248">
        <v>198797</v>
      </c>
      <c r="K218" s="248"/>
      <c r="L218" s="248">
        <f t="shared" si="15"/>
        <v>198797</v>
      </c>
      <c r="M218" s="249"/>
      <c r="N218" s="249"/>
      <c r="O218" s="249"/>
      <c r="P218" s="249"/>
      <c r="Q218" s="249"/>
      <c r="R218" s="249"/>
      <c r="S218" s="249"/>
      <c r="T218" s="249"/>
      <c r="U218" s="249"/>
      <c r="V218" s="249"/>
      <c r="W218" s="249"/>
      <c r="X218" s="249"/>
      <c r="Y218" s="249">
        <f t="shared" si="16"/>
        <v>0</v>
      </c>
      <c r="Z218" s="249">
        <v>4</v>
      </c>
      <c r="AA218" s="249" t="s">
        <v>1458</v>
      </c>
      <c r="AB218" s="250">
        <v>44232</v>
      </c>
      <c r="AC218" s="251">
        <v>44249</v>
      </c>
      <c r="AD218" s="249"/>
      <c r="AE218" s="249"/>
      <c r="AF218" s="250"/>
      <c r="AG218" s="250"/>
      <c r="AH218" s="249"/>
      <c r="AI218" s="249"/>
      <c r="AJ218" s="250"/>
      <c r="AK218" s="249"/>
      <c r="AL218" s="249"/>
      <c r="AM218" s="249"/>
      <c r="AN218" s="249"/>
      <c r="AO218" s="249"/>
      <c r="AP218" s="249"/>
      <c r="AQ218" s="249"/>
      <c r="AR218" s="249"/>
      <c r="AS218" s="249"/>
      <c r="AT218" s="249">
        <v>4</v>
      </c>
      <c r="AU218" s="249">
        <f t="shared" si="17"/>
        <v>4</v>
      </c>
      <c r="AV218" s="269">
        <f t="shared" si="18"/>
        <v>4</v>
      </c>
      <c r="AW218" s="269">
        <f t="shared" si="19"/>
        <v>0</v>
      </c>
    </row>
    <row r="219" spans="2:49" s="140" customFormat="1" ht="22.5" x14ac:dyDescent="0.25">
      <c r="B219" s="227">
        <v>203</v>
      </c>
      <c r="C219" s="227" t="s">
        <v>39</v>
      </c>
      <c r="D219" s="28">
        <v>40002098</v>
      </c>
      <c r="E219" s="247" t="s">
        <v>1496</v>
      </c>
      <c r="F219" s="247" t="s">
        <v>54</v>
      </c>
      <c r="G219" s="229" t="s">
        <v>1237</v>
      </c>
      <c r="H219" s="247" t="s">
        <v>1242</v>
      </c>
      <c r="I219" s="247" t="s">
        <v>72</v>
      </c>
      <c r="J219" s="248">
        <v>727793</v>
      </c>
      <c r="K219" s="248"/>
      <c r="L219" s="248">
        <f t="shared" si="15"/>
        <v>727793</v>
      </c>
      <c r="M219" s="249"/>
      <c r="N219" s="249"/>
      <c r="O219" s="249"/>
      <c r="P219" s="249"/>
      <c r="Q219" s="249"/>
      <c r="R219" s="249"/>
      <c r="S219" s="249"/>
      <c r="T219" s="249"/>
      <c r="U219" s="249"/>
      <c r="V219" s="249"/>
      <c r="W219" s="249"/>
      <c r="X219" s="249"/>
      <c r="Y219" s="249">
        <f t="shared" si="16"/>
        <v>0</v>
      </c>
      <c r="Z219" s="249">
        <v>3</v>
      </c>
      <c r="AA219" s="249" t="s">
        <v>1458</v>
      </c>
      <c r="AB219" s="250">
        <v>44232</v>
      </c>
      <c r="AC219" s="251">
        <v>44249</v>
      </c>
      <c r="AD219" s="249"/>
      <c r="AE219" s="249"/>
      <c r="AF219" s="250"/>
      <c r="AG219" s="250"/>
      <c r="AH219" s="249"/>
      <c r="AI219" s="249"/>
      <c r="AJ219" s="250"/>
      <c r="AK219" s="249"/>
      <c r="AL219" s="249"/>
      <c r="AM219" s="249"/>
      <c r="AN219" s="249"/>
      <c r="AO219" s="249"/>
      <c r="AP219" s="249"/>
      <c r="AQ219" s="249"/>
      <c r="AR219" s="249"/>
      <c r="AS219" s="249"/>
      <c r="AT219" s="249">
        <v>3</v>
      </c>
      <c r="AU219" s="249">
        <f t="shared" si="17"/>
        <v>3</v>
      </c>
      <c r="AV219" s="269">
        <f t="shared" si="18"/>
        <v>3</v>
      </c>
      <c r="AW219" s="269">
        <f t="shared" si="19"/>
        <v>0</v>
      </c>
    </row>
    <row r="220" spans="2:49" s="140" customFormat="1" x14ac:dyDescent="0.25">
      <c r="B220" s="227">
        <v>204</v>
      </c>
      <c r="C220" s="227" t="s">
        <v>39</v>
      </c>
      <c r="D220" s="28">
        <v>40017201</v>
      </c>
      <c r="E220" s="247" t="s">
        <v>1497</v>
      </c>
      <c r="F220" s="247" t="s">
        <v>1256</v>
      </c>
      <c r="G220" s="229" t="s">
        <v>1237</v>
      </c>
      <c r="H220" s="247" t="s">
        <v>1242</v>
      </c>
      <c r="I220" s="247" t="s">
        <v>72</v>
      </c>
      <c r="J220" s="248">
        <v>1517713</v>
      </c>
      <c r="K220" s="248"/>
      <c r="L220" s="248">
        <f t="shared" si="15"/>
        <v>1517713</v>
      </c>
      <c r="M220" s="249"/>
      <c r="N220" s="249"/>
      <c r="O220" s="249"/>
      <c r="P220" s="249"/>
      <c r="Q220" s="249"/>
      <c r="R220" s="249"/>
      <c r="S220" s="249"/>
      <c r="T220" s="249"/>
      <c r="U220" s="249"/>
      <c r="V220" s="249"/>
      <c r="W220" s="249"/>
      <c r="X220" s="249"/>
      <c r="Y220" s="249">
        <f t="shared" si="16"/>
        <v>0</v>
      </c>
      <c r="Z220" s="249">
        <v>1</v>
      </c>
      <c r="AA220" s="249" t="s">
        <v>1458</v>
      </c>
      <c r="AB220" s="250">
        <v>44232</v>
      </c>
      <c r="AC220" s="251">
        <v>44249</v>
      </c>
      <c r="AD220" s="249"/>
      <c r="AE220" s="249"/>
      <c r="AF220" s="250"/>
      <c r="AG220" s="250"/>
      <c r="AH220" s="249"/>
      <c r="AI220" s="249"/>
      <c r="AJ220" s="250"/>
      <c r="AK220" s="249"/>
      <c r="AL220" s="249"/>
      <c r="AM220" s="249"/>
      <c r="AN220" s="249"/>
      <c r="AO220" s="249"/>
      <c r="AP220" s="249"/>
      <c r="AQ220" s="249"/>
      <c r="AR220" s="249"/>
      <c r="AS220" s="249"/>
      <c r="AT220" s="249">
        <v>1</v>
      </c>
      <c r="AU220" s="249">
        <f t="shared" si="17"/>
        <v>1</v>
      </c>
      <c r="AV220" s="269">
        <f t="shared" si="18"/>
        <v>1</v>
      </c>
      <c r="AW220" s="269">
        <f t="shared" si="19"/>
        <v>0</v>
      </c>
    </row>
    <row r="221" spans="2:49" s="140" customFormat="1" x14ac:dyDescent="0.25">
      <c r="B221" s="227">
        <v>205</v>
      </c>
      <c r="C221" s="227" t="s">
        <v>39</v>
      </c>
      <c r="D221" s="28">
        <v>30085253</v>
      </c>
      <c r="E221" s="247" t="s">
        <v>1498</v>
      </c>
      <c r="F221" s="247" t="s">
        <v>54</v>
      </c>
      <c r="G221" s="229" t="s">
        <v>1237</v>
      </c>
      <c r="H221" s="247" t="s">
        <v>1394</v>
      </c>
      <c r="I221" s="247" t="s">
        <v>57</v>
      </c>
      <c r="J221" s="248">
        <v>1136354</v>
      </c>
      <c r="K221" s="248">
        <v>7554</v>
      </c>
      <c r="L221" s="248">
        <f t="shared" si="15"/>
        <v>1128800</v>
      </c>
      <c r="M221" s="249"/>
      <c r="N221" s="249"/>
      <c r="O221" s="249"/>
      <c r="P221" s="249"/>
      <c r="Q221" s="249"/>
      <c r="R221" s="249"/>
      <c r="S221" s="249"/>
      <c r="T221" s="249"/>
      <c r="U221" s="249"/>
      <c r="V221" s="249"/>
      <c r="W221" s="249"/>
      <c r="X221" s="249"/>
      <c r="Y221" s="249">
        <f t="shared" si="16"/>
        <v>0</v>
      </c>
      <c r="Z221" s="249">
        <v>3</v>
      </c>
      <c r="AA221" s="249" t="s">
        <v>1458</v>
      </c>
      <c r="AB221" s="250">
        <v>44232</v>
      </c>
      <c r="AC221" s="251">
        <v>44249</v>
      </c>
      <c r="AD221" s="249"/>
      <c r="AE221" s="249"/>
      <c r="AF221" s="250"/>
      <c r="AG221" s="250"/>
      <c r="AH221" s="249"/>
      <c r="AI221" s="249"/>
      <c r="AJ221" s="250"/>
      <c r="AK221" s="249"/>
      <c r="AL221" s="249"/>
      <c r="AM221" s="249"/>
      <c r="AN221" s="249"/>
      <c r="AO221" s="249"/>
      <c r="AP221" s="249"/>
      <c r="AQ221" s="249"/>
      <c r="AR221" s="249"/>
      <c r="AS221" s="249"/>
      <c r="AT221" s="249">
        <v>3</v>
      </c>
      <c r="AU221" s="249">
        <f t="shared" si="17"/>
        <v>3</v>
      </c>
      <c r="AV221" s="269">
        <f t="shared" si="18"/>
        <v>3</v>
      </c>
      <c r="AW221" s="269">
        <f t="shared" si="19"/>
        <v>0</v>
      </c>
    </row>
    <row r="222" spans="2:49" s="140" customFormat="1" ht="22.5" x14ac:dyDescent="0.25">
      <c r="B222" s="227">
        <v>206</v>
      </c>
      <c r="C222" s="227" t="s">
        <v>39</v>
      </c>
      <c r="D222" s="28">
        <v>40008132</v>
      </c>
      <c r="E222" s="247" t="s">
        <v>1499</v>
      </c>
      <c r="F222" s="247" t="s">
        <v>54</v>
      </c>
      <c r="G222" s="229" t="s">
        <v>1237</v>
      </c>
      <c r="H222" s="247" t="s">
        <v>1317</v>
      </c>
      <c r="I222" s="247" t="s">
        <v>72</v>
      </c>
      <c r="J222" s="248">
        <v>937916</v>
      </c>
      <c r="K222" s="248"/>
      <c r="L222" s="248">
        <f t="shared" si="15"/>
        <v>937916</v>
      </c>
      <c r="M222" s="249"/>
      <c r="N222" s="249"/>
      <c r="O222" s="249"/>
      <c r="P222" s="249"/>
      <c r="Q222" s="249"/>
      <c r="R222" s="249"/>
      <c r="S222" s="249"/>
      <c r="T222" s="249"/>
      <c r="U222" s="249"/>
      <c r="V222" s="249"/>
      <c r="W222" s="249"/>
      <c r="X222" s="249"/>
      <c r="Y222" s="249">
        <f t="shared" si="16"/>
        <v>0</v>
      </c>
      <c r="Z222" s="249">
        <v>2</v>
      </c>
      <c r="AA222" s="249" t="s">
        <v>1458</v>
      </c>
      <c r="AB222" s="250">
        <v>44232</v>
      </c>
      <c r="AC222" s="251">
        <v>44249</v>
      </c>
      <c r="AD222" s="249">
        <v>511000</v>
      </c>
      <c r="AE222" s="249" t="s">
        <v>1308</v>
      </c>
      <c r="AF222" s="250">
        <v>44253</v>
      </c>
      <c r="AG222" s="251">
        <v>44286</v>
      </c>
      <c r="AH222" s="249"/>
      <c r="AI222" s="249"/>
      <c r="AJ222" s="250"/>
      <c r="AK222" s="249"/>
      <c r="AL222" s="249"/>
      <c r="AM222" s="249"/>
      <c r="AN222" s="249"/>
      <c r="AO222" s="249"/>
      <c r="AP222" s="249"/>
      <c r="AQ222" s="249"/>
      <c r="AR222" s="249"/>
      <c r="AS222" s="249"/>
      <c r="AT222" s="249">
        <v>511002</v>
      </c>
      <c r="AU222" s="249">
        <f t="shared" si="17"/>
        <v>511002</v>
      </c>
      <c r="AV222" s="269">
        <f t="shared" si="18"/>
        <v>511002</v>
      </c>
      <c r="AW222" s="269">
        <f t="shared" si="19"/>
        <v>0</v>
      </c>
    </row>
    <row r="223" spans="2:49" s="140" customFormat="1" x14ac:dyDescent="0.25">
      <c r="B223" s="227">
        <v>207</v>
      </c>
      <c r="C223" s="227" t="s">
        <v>39</v>
      </c>
      <c r="D223" s="28">
        <v>30176826</v>
      </c>
      <c r="E223" s="247" t="s">
        <v>1500</v>
      </c>
      <c r="F223" s="247" t="s">
        <v>54</v>
      </c>
      <c r="G223" s="229" t="s">
        <v>1237</v>
      </c>
      <c r="H223" s="247" t="s">
        <v>1237</v>
      </c>
      <c r="I223" s="247" t="s">
        <v>72</v>
      </c>
      <c r="J223" s="248">
        <v>754447</v>
      </c>
      <c r="K223" s="248"/>
      <c r="L223" s="248">
        <f t="shared" si="15"/>
        <v>754447</v>
      </c>
      <c r="M223" s="249"/>
      <c r="N223" s="249"/>
      <c r="O223" s="249"/>
      <c r="P223" s="249"/>
      <c r="Q223" s="249"/>
      <c r="R223" s="249"/>
      <c r="S223" s="249"/>
      <c r="T223" s="249"/>
      <c r="U223" s="249"/>
      <c r="V223" s="249"/>
      <c r="W223" s="249"/>
      <c r="X223" s="249"/>
      <c r="Y223" s="249">
        <f t="shared" si="16"/>
        <v>0</v>
      </c>
      <c r="Z223" s="249">
        <v>4</v>
      </c>
      <c r="AA223" s="249" t="s">
        <v>1458</v>
      </c>
      <c r="AB223" s="250">
        <v>44232</v>
      </c>
      <c r="AC223" s="251">
        <v>44249</v>
      </c>
      <c r="AD223" s="249"/>
      <c r="AE223" s="249"/>
      <c r="AF223" s="250"/>
      <c r="AG223" s="250"/>
      <c r="AH223" s="249"/>
      <c r="AI223" s="249"/>
      <c r="AJ223" s="250"/>
      <c r="AK223" s="249"/>
      <c r="AL223" s="249"/>
      <c r="AM223" s="249"/>
      <c r="AN223" s="249"/>
      <c r="AO223" s="249"/>
      <c r="AP223" s="249"/>
      <c r="AQ223" s="249"/>
      <c r="AR223" s="249"/>
      <c r="AS223" s="249"/>
      <c r="AT223" s="249">
        <v>4</v>
      </c>
      <c r="AU223" s="249">
        <f t="shared" si="17"/>
        <v>4</v>
      </c>
      <c r="AV223" s="269">
        <f t="shared" si="18"/>
        <v>4</v>
      </c>
      <c r="AW223" s="269">
        <f t="shared" si="19"/>
        <v>0</v>
      </c>
    </row>
    <row r="224" spans="2:49" s="140" customFormat="1" ht="22.5" x14ac:dyDescent="0.25">
      <c r="B224" s="227">
        <v>208</v>
      </c>
      <c r="C224" s="227" t="s">
        <v>39</v>
      </c>
      <c r="D224" s="28">
        <v>30459937</v>
      </c>
      <c r="E224" s="247" t="s">
        <v>1501</v>
      </c>
      <c r="F224" s="247" t="s">
        <v>1256</v>
      </c>
      <c r="G224" s="229" t="s">
        <v>1237</v>
      </c>
      <c r="H224" s="247" t="s">
        <v>1288</v>
      </c>
      <c r="I224" s="247" t="s">
        <v>57</v>
      </c>
      <c r="J224" s="248">
        <v>29143</v>
      </c>
      <c r="K224" s="248">
        <v>17826</v>
      </c>
      <c r="L224" s="248">
        <f t="shared" si="15"/>
        <v>11317</v>
      </c>
      <c r="M224" s="249"/>
      <c r="N224" s="249">
        <v>7189.98</v>
      </c>
      <c r="O224" s="249"/>
      <c r="P224" s="249"/>
      <c r="Q224" s="249"/>
      <c r="R224" s="249"/>
      <c r="S224" s="249"/>
      <c r="T224" s="249"/>
      <c r="U224" s="249"/>
      <c r="V224" s="249"/>
      <c r="W224" s="249"/>
      <c r="X224" s="249"/>
      <c r="Y224" s="249">
        <f t="shared" si="16"/>
        <v>7189.98</v>
      </c>
      <c r="Z224" s="249">
        <v>7190</v>
      </c>
      <c r="AA224" s="249" t="s">
        <v>1458</v>
      </c>
      <c r="AB224" s="250">
        <v>44232</v>
      </c>
      <c r="AC224" s="251">
        <v>44249</v>
      </c>
      <c r="AD224" s="249"/>
      <c r="AE224" s="249"/>
      <c r="AF224" s="250"/>
      <c r="AG224" s="250"/>
      <c r="AH224" s="249"/>
      <c r="AI224" s="249"/>
      <c r="AJ224" s="250"/>
      <c r="AK224" s="249"/>
      <c r="AL224" s="249"/>
      <c r="AM224" s="249"/>
      <c r="AN224" s="249"/>
      <c r="AO224" s="249"/>
      <c r="AP224" s="249"/>
      <c r="AQ224" s="249"/>
      <c r="AR224" s="249"/>
      <c r="AS224" s="249"/>
      <c r="AT224" s="249">
        <v>7190</v>
      </c>
      <c r="AU224" s="249">
        <f t="shared" si="17"/>
        <v>2.0000000000436557E-2</v>
      </c>
      <c r="AV224" s="269">
        <f t="shared" si="18"/>
        <v>7190</v>
      </c>
      <c r="AW224" s="269">
        <f t="shared" si="19"/>
        <v>0</v>
      </c>
    </row>
    <row r="225" spans="2:49" s="140" customFormat="1" ht="22.5" x14ac:dyDescent="0.25">
      <c r="B225" s="227">
        <v>209</v>
      </c>
      <c r="C225" s="227" t="s">
        <v>39</v>
      </c>
      <c r="D225" s="28">
        <v>40007895</v>
      </c>
      <c r="E225" s="247" t="s">
        <v>1502</v>
      </c>
      <c r="F225" s="247" t="s">
        <v>1256</v>
      </c>
      <c r="G225" s="229" t="s">
        <v>1237</v>
      </c>
      <c r="H225" s="247" t="s">
        <v>1288</v>
      </c>
      <c r="I225" s="247" t="s">
        <v>72</v>
      </c>
      <c r="J225" s="248">
        <v>200000</v>
      </c>
      <c r="K225" s="248"/>
      <c r="L225" s="248">
        <f t="shared" si="15"/>
        <v>200000</v>
      </c>
      <c r="M225" s="249"/>
      <c r="N225" s="249"/>
      <c r="O225" s="249"/>
      <c r="P225" s="249"/>
      <c r="Q225" s="249"/>
      <c r="R225" s="249"/>
      <c r="S225" s="249"/>
      <c r="T225" s="249"/>
      <c r="U225" s="249"/>
      <c r="V225" s="249"/>
      <c r="W225" s="249"/>
      <c r="X225" s="249"/>
      <c r="Y225" s="249">
        <f t="shared" si="16"/>
        <v>0</v>
      </c>
      <c r="Z225" s="249">
        <v>200000</v>
      </c>
      <c r="AA225" s="249" t="s">
        <v>1458</v>
      </c>
      <c r="AB225" s="250">
        <v>44232</v>
      </c>
      <c r="AC225" s="251">
        <v>44249</v>
      </c>
      <c r="AD225" s="249"/>
      <c r="AE225" s="249"/>
      <c r="AF225" s="250"/>
      <c r="AG225" s="250"/>
      <c r="AH225" s="249"/>
      <c r="AI225" s="249"/>
      <c r="AJ225" s="250"/>
      <c r="AK225" s="249"/>
      <c r="AL225" s="249"/>
      <c r="AM225" s="249"/>
      <c r="AN225" s="249"/>
      <c r="AO225" s="249"/>
      <c r="AP225" s="249"/>
      <c r="AQ225" s="249"/>
      <c r="AR225" s="249"/>
      <c r="AS225" s="249"/>
      <c r="AT225" s="249">
        <v>200000</v>
      </c>
      <c r="AU225" s="249">
        <f t="shared" si="17"/>
        <v>200000</v>
      </c>
      <c r="AV225" s="269">
        <f t="shared" si="18"/>
        <v>200000</v>
      </c>
      <c r="AW225" s="269">
        <f t="shared" si="19"/>
        <v>0</v>
      </c>
    </row>
    <row r="226" spans="2:49" s="140" customFormat="1" ht="22.5" x14ac:dyDescent="0.25">
      <c r="B226" s="227">
        <v>210</v>
      </c>
      <c r="C226" s="227" t="s">
        <v>39</v>
      </c>
      <c r="D226" s="28">
        <v>40012274</v>
      </c>
      <c r="E226" s="247" t="s">
        <v>1503</v>
      </c>
      <c r="F226" s="247" t="s">
        <v>54</v>
      </c>
      <c r="G226" s="229" t="s">
        <v>1237</v>
      </c>
      <c r="H226" s="247" t="s">
        <v>1237</v>
      </c>
      <c r="I226" s="247" t="s">
        <v>72</v>
      </c>
      <c r="J226" s="248">
        <v>2470991</v>
      </c>
      <c r="K226" s="248"/>
      <c r="L226" s="248">
        <f t="shared" si="15"/>
        <v>2470991</v>
      </c>
      <c r="M226" s="249"/>
      <c r="N226" s="249"/>
      <c r="O226" s="249"/>
      <c r="P226" s="249"/>
      <c r="Q226" s="249"/>
      <c r="R226" s="249"/>
      <c r="S226" s="249"/>
      <c r="T226" s="249"/>
      <c r="U226" s="249"/>
      <c r="V226" s="249"/>
      <c r="W226" s="249"/>
      <c r="X226" s="249"/>
      <c r="Y226" s="249">
        <f t="shared" si="16"/>
        <v>0</v>
      </c>
      <c r="Z226" s="249">
        <v>1630928</v>
      </c>
      <c r="AA226" s="249" t="s">
        <v>1504</v>
      </c>
      <c r="AB226" s="250">
        <v>44232</v>
      </c>
      <c r="AC226" s="251">
        <v>44249</v>
      </c>
      <c r="AD226" s="249"/>
      <c r="AE226" s="249"/>
      <c r="AF226" s="250"/>
      <c r="AG226" s="250"/>
      <c r="AH226" s="249"/>
      <c r="AI226" s="249"/>
      <c r="AJ226" s="250"/>
      <c r="AK226" s="249"/>
      <c r="AL226" s="249"/>
      <c r="AM226" s="249"/>
      <c r="AN226" s="249"/>
      <c r="AO226" s="249"/>
      <c r="AP226" s="249"/>
      <c r="AQ226" s="249"/>
      <c r="AR226" s="249"/>
      <c r="AS226" s="249"/>
      <c r="AT226" s="249">
        <v>1630928</v>
      </c>
      <c r="AU226" s="249">
        <f t="shared" si="17"/>
        <v>1630928</v>
      </c>
      <c r="AV226" s="269">
        <f t="shared" si="18"/>
        <v>1630928</v>
      </c>
      <c r="AW226" s="269">
        <f t="shared" si="19"/>
        <v>0</v>
      </c>
    </row>
    <row r="227" spans="2:49" s="140" customFormat="1" ht="22.5" x14ac:dyDescent="0.25">
      <c r="B227" s="227">
        <v>212</v>
      </c>
      <c r="C227" s="227" t="s">
        <v>39</v>
      </c>
      <c r="D227" s="28">
        <v>30480199</v>
      </c>
      <c r="E227" s="247" t="s">
        <v>1505</v>
      </c>
      <c r="F227" s="247" t="s">
        <v>54</v>
      </c>
      <c r="G227" s="229" t="s">
        <v>1237</v>
      </c>
      <c r="H227" s="247" t="s">
        <v>1237</v>
      </c>
      <c r="I227" s="247" t="s">
        <v>57</v>
      </c>
      <c r="J227" s="248">
        <v>499690</v>
      </c>
      <c r="K227" s="248"/>
      <c r="L227" s="248">
        <f t="shared" si="15"/>
        <v>499690</v>
      </c>
      <c r="M227" s="249"/>
      <c r="N227" s="249"/>
      <c r="O227" s="249">
        <v>9907.5150000000012</v>
      </c>
      <c r="P227" s="249"/>
      <c r="Q227" s="249"/>
      <c r="R227" s="249"/>
      <c r="S227" s="249"/>
      <c r="T227" s="249"/>
      <c r="U227" s="249"/>
      <c r="V227" s="249"/>
      <c r="W227" s="249"/>
      <c r="X227" s="249"/>
      <c r="Y227" s="249">
        <f t="shared" si="16"/>
        <v>9907.5150000000012</v>
      </c>
      <c r="Z227" s="249">
        <v>499688</v>
      </c>
      <c r="AA227" s="249" t="s">
        <v>1417</v>
      </c>
      <c r="AB227" s="250">
        <v>44253</v>
      </c>
      <c r="AC227" s="251">
        <v>44279</v>
      </c>
      <c r="AD227" s="249"/>
      <c r="AE227" s="249"/>
      <c r="AF227" s="250"/>
      <c r="AG227" s="250"/>
      <c r="AH227" s="249"/>
      <c r="AI227" s="249"/>
      <c r="AJ227" s="250"/>
      <c r="AK227" s="249"/>
      <c r="AL227" s="249"/>
      <c r="AM227" s="249"/>
      <c r="AN227" s="249"/>
      <c r="AO227" s="249"/>
      <c r="AP227" s="249"/>
      <c r="AQ227" s="249"/>
      <c r="AR227" s="249"/>
      <c r="AS227" s="249"/>
      <c r="AT227" s="249">
        <v>499688</v>
      </c>
      <c r="AU227" s="249">
        <f t="shared" si="17"/>
        <v>489780.48499999999</v>
      </c>
      <c r="AV227" s="269">
        <f t="shared" si="18"/>
        <v>499688</v>
      </c>
      <c r="AW227" s="269">
        <f t="shared" si="19"/>
        <v>0</v>
      </c>
    </row>
    <row r="228" spans="2:49" s="140" customFormat="1" x14ac:dyDescent="0.25">
      <c r="B228" s="227">
        <v>213</v>
      </c>
      <c r="C228" s="227" t="s">
        <v>42</v>
      </c>
      <c r="D228" s="28">
        <v>40003787</v>
      </c>
      <c r="E228" s="247" t="s">
        <v>1506</v>
      </c>
      <c r="F228" s="247" t="s">
        <v>54</v>
      </c>
      <c r="G228" s="229" t="s">
        <v>1237</v>
      </c>
      <c r="H228" s="247" t="s">
        <v>1242</v>
      </c>
      <c r="I228" s="247" t="s">
        <v>72</v>
      </c>
      <c r="J228" s="248">
        <v>325947</v>
      </c>
      <c r="K228" s="248"/>
      <c r="L228" s="248">
        <f t="shared" si="15"/>
        <v>325947</v>
      </c>
      <c r="M228" s="249"/>
      <c r="N228" s="249"/>
      <c r="O228" s="249"/>
      <c r="P228" s="249"/>
      <c r="Q228" s="249"/>
      <c r="R228" s="249"/>
      <c r="S228" s="249"/>
      <c r="T228" s="249"/>
      <c r="U228" s="249"/>
      <c r="V228" s="249"/>
      <c r="W228" s="249"/>
      <c r="X228" s="249"/>
      <c r="Y228" s="249">
        <f t="shared" si="16"/>
        <v>0</v>
      </c>
      <c r="Z228" s="249">
        <v>108650</v>
      </c>
      <c r="AA228" s="249" t="s">
        <v>1417</v>
      </c>
      <c r="AB228" s="250">
        <v>44253</v>
      </c>
      <c r="AC228" s="251">
        <v>44279</v>
      </c>
      <c r="AD228" s="249"/>
      <c r="AE228" s="249"/>
      <c r="AF228" s="250"/>
      <c r="AG228" s="250"/>
      <c r="AH228" s="249"/>
      <c r="AI228" s="249"/>
      <c r="AJ228" s="250"/>
      <c r="AK228" s="249"/>
      <c r="AL228" s="249"/>
      <c r="AM228" s="249"/>
      <c r="AN228" s="249"/>
      <c r="AO228" s="249"/>
      <c r="AP228" s="249"/>
      <c r="AQ228" s="249"/>
      <c r="AR228" s="249"/>
      <c r="AS228" s="249"/>
      <c r="AT228" s="249">
        <v>108650</v>
      </c>
      <c r="AU228" s="249">
        <f t="shared" si="17"/>
        <v>108650</v>
      </c>
      <c r="AV228" s="269">
        <f t="shared" si="18"/>
        <v>108650</v>
      </c>
      <c r="AW228" s="269">
        <f t="shared" si="19"/>
        <v>0</v>
      </c>
    </row>
    <row r="229" spans="2:49" s="140" customFormat="1" ht="22.5" x14ac:dyDescent="0.25">
      <c r="B229" s="227">
        <v>214</v>
      </c>
      <c r="C229" s="227" t="s">
        <v>39</v>
      </c>
      <c r="D229" s="28">
        <v>30475089</v>
      </c>
      <c r="E229" s="247" t="s">
        <v>1507</v>
      </c>
      <c r="F229" s="247" t="s">
        <v>54</v>
      </c>
      <c r="G229" s="229" t="s">
        <v>1237</v>
      </c>
      <c r="H229" s="247" t="s">
        <v>1249</v>
      </c>
      <c r="I229" s="247" t="s">
        <v>57</v>
      </c>
      <c r="J229" s="248">
        <v>167597</v>
      </c>
      <c r="K229" s="248">
        <v>77847</v>
      </c>
      <c r="L229" s="248">
        <f t="shared" si="15"/>
        <v>89750</v>
      </c>
      <c r="M229" s="249"/>
      <c r="N229" s="249"/>
      <c r="O229" s="249"/>
      <c r="P229" s="249"/>
      <c r="Q229" s="249"/>
      <c r="R229" s="249"/>
      <c r="S229" s="249"/>
      <c r="T229" s="249"/>
      <c r="U229" s="249"/>
      <c r="V229" s="249"/>
      <c r="W229" s="249"/>
      <c r="X229" s="249"/>
      <c r="Y229" s="249">
        <f t="shared" si="16"/>
        <v>0</v>
      </c>
      <c r="Z229" s="249">
        <v>89750</v>
      </c>
      <c r="AA229" s="249" t="s">
        <v>1308</v>
      </c>
      <c r="AB229" s="250">
        <v>44253</v>
      </c>
      <c r="AC229" s="251">
        <v>44286</v>
      </c>
      <c r="AD229" s="249"/>
      <c r="AE229" s="249"/>
      <c r="AF229" s="250"/>
      <c r="AG229" s="250"/>
      <c r="AH229" s="249"/>
      <c r="AI229" s="249"/>
      <c r="AJ229" s="250"/>
      <c r="AK229" s="249"/>
      <c r="AL229" s="249"/>
      <c r="AM229" s="249"/>
      <c r="AN229" s="249"/>
      <c r="AO229" s="249"/>
      <c r="AP229" s="249"/>
      <c r="AQ229" s="249"/>
      <c r="AR229" s="249"/>
      <c r="AS229" s="249"/>
      <c r="AT229" s="249">
        <v>89750</v>
      </c>
      <c r="AU229" s="249">
        <f t="shared" si="17"/>
        <v>89750</v>
      </c>
      <c r="AV229" s="269">
        <f t="shared" si="18"/>
        <v>89750</v>
      </c>
      <c r="AW229" s="269">
        <f t="shared" si="19"/>
        <v>0</v>
      </c>
    </row>
    <row r="230" spans="2:49" s="140" customFormat="1" ht="22.5" x14ac:dyDescent="0.25">
      <c r="B230" s="227">
        <v>215</v>
      </c>
      <c r="C230" s="227" t="s">
        <v>39</v>
      </c>
      <c r="D230" s="28">
        <v>30129298</v>
      </c>
      <c r="E230" s="247" t="s">
        <v>1508</v>
      </c>
      <c r="F230" s="247" t="s">
        <v>54</v>
      </c>
      <c r="G230" s="229" t="s">
        <v>1237</v>
      </c>
      <c r="H230" s="247" t="s">
        <v>1251</v>
      </c>
      <c r="I230" s="247" t="s">
        <v>57</v>
      </c>
      <c r="J230" s="248">
        <v>184314</v>
      </c>
      <c r="K230" s="248">
        <v>160023</v>
      </c>
      <c r="L230" s="248">
        <f t="shared" si="15"/>
        <v>24291</v>
      </c>
      <c r="M230" s="249"/>
      <c r="N230" s="249"/>
      <c r="O230" s="249"/>
      <c r="P230" s="249"/>
      <c r="Q230" s="249"/>
      <c r="R230" s="249"/>
      <c r="S230" s="249"/>
      <c r="T230" s="249"/>
      <c r="U230" s="249"/>
      <c r="V230" s="249"/>
      <c r="W230" s="249"/>
      <c r="X230" s="249"/>
      <c r="Y230" s="249">
        <f t="shared" si="16"/>
        <v>0</v>
      </c>
      <c r="Z230" s="249">
        <v>24291</v>
      </c>
      <c r="AA230" s="249" t="s">
        <v>1308</v>
      </c>
      <c r="AB230" s="250">
        <v>44253</v>
      </c>
      <c r="AC230" s="251">
        <v>44286</v>
      </c>
      <c r="AD230" s="249"/>
      <c r="AE230" s="249"/>
      <c r="AF230" s="250"/>
      <c r="AG230" s="250"/>
      <c r="AH230" s="249"/>
      <c r="AI230" s="249"/>
      <c r="AJ230" s="250"/>
      <c r="AK230" s="249"/>
      <c r="AL230" s="249"/>
      <c r="AM230" s="249"/>
      <c r="AN230" s="249"/>
      <c r="AO230" s="249"/>
      <c r="AP230" s="249"/>
      <c r="AQ230" s="249"/>
      <c r="AR230" s="249"/>
      <c r="AS230" s="249"/>
      <c r="AT230" s="249">
        <v>24291</v>
      </c>
      <c r="AU230" s="249">
        <f t="shared" si="17"/>
        <v>24291</v>
      </c>
      <c r="AV230" s="269">
        <f t="shared" si="18"/>
        <v>24291</v>
      </c>
      <c r="AW230" s="269">
        <f t="shared" si="19"/>
        <v>0</v>
      </c>
    </row>
    <row r="231" spans="2:49" s="140" customFormat="1" x14ac:dyDescent="0.25">
      <c r="B231" s="227">
        <v>216</v>
      </c>
      <c r="C231" s="227" t="s">
        <v>39</v>
      </c>
      <c r="D231" s="28">
        <v>30485513</v>
      </c>
      <c r="E231" s="247" t="s">
        <v>1509</v>
      </c>
      <c r="F231" s="247" t="s">
        <v>1256</v>
      </c>
      <c r="G231" s="229" t="s">
        <v>1237</v>
      </c>
      <c r="H231" s="247" t="s">
        <v>1249</v>
      </c>
      <c r="I231" s="247" t="s">
        <v>57</v>
      </c>
      <c r="J231" s="248">
        <v>48307</v>
      </c>
      <c r="K231" s="248">
        <v>21470</v>
      </c>
      <c r="L231" s="248">
        <f t="shared" si="15"/>
        <v>26837</v>
      </c>
      <c r="M231" s="249"/>
      <c r="N231" s="249"/>
      <c r="O231" s="249"/>
      <c r="P231" s="249"/>
      <c r="Q231" s="249"/>
      <c r="R231" s="249"/>
      <c r="S231" s="249"/>
      <c r="T231" s="249"/>
      <c r="U231" s="249"/>
      <c r="V231" s="249"/>
      <c r="W231" s="249"/>
      <c r="X231" s="249"/>
      <c r="Y231" s="249">
        <f t="shared" si="16"/>
        <v>0</v>
      </c>
      <c r="Z231" s="249">
        <v>26837</v>
      </c>
      <c r="AA231" s="249" t="s">
        <v>1308</v>
      </c>
      <c r="AB231" s="250">
        <v>44253</v>
      </c>
      <c r="AC231" s="251">
        <v>44286</v>
      </c>
      <c r="AD231" s="249"/>
      <c r="AE231" s="249"/>
      <c r="AF231" s="250"/>
      <c r="AG231" s="250"/>
      <c r="AH231" s="249"/>
      <c r="AI231" s="249"/>
      <c r="AJ231" s="250"/>
      <c r="AK231" s="249"/>
      <c r="AL231" s="249"/>
      <c r="AM231" s="249"/>
      <c r="AN231" s="249"/>
      <c r="AO231" s="249"/>
      <c r="AP231" s="249"/>
      <c r="AQ231" s="249"/>
      <c r="AR231" s="249"/>
      <c r="AS231" s="249"/>
      <c r="AT231" s="249">
        <v>26837</v>
      </c>
      <c r="AU231" s="249">
        <f t="shared" si="17"/>
        <v>26837</v>
      </c>
      <c r="AV231" s="269">
        <f t="shared" si="18"/>
        <v>26837</v>
      </c>
      <c r="AW231" s="269">
        <f t="shared" si="19"/>
        <v>0</v>
      </c>
    </row>
    <row r="232" spans="2:49" s="140" customFormat="1" x14ac:dyDescent="0.25">
      <c r="B232" s="227">
        <v>217</v>
      </c>
      <c r="C232" s="227" t="s">
        <v>39</v>
      </c>
      <c r="D232" s="28">
        <v>30091326</v>
      </c>
      <c r="E232" s="247" t="s">
        <v>1510</v>
      </c>
      <c r="F232" s="247" t="s">
        <v>54</v>
      </c>
      <c r="G232" s="229" t="s">
        <v>1237</v>
      </c>
      <c r="H232" s="247" t="s">
        <v>1288</v>
      </c>
      <c r="I232" s="247" t="s">
        <v>72</v>
      </c>
      <c r="J232" s="248">
        <v>8123643</v>
      </c>
      <c r="K232" s="248"/>
      <c r="L232" s="248">
        <f t="shared" si="15"/>
        <v>8123643</v>
      </c>
      <c r="M232" s="249"/>
      <c r="N232" s="249"/>
      <c r="O232" s="249"/>
      <c r="P232" s="249"/>
      <c r="Q232" s="249"/>
      <c r="R232" s="249"/>
      <c r="S232" s="249"/>
      <c r="T232" s="249"/>
      <c r="U232" s="249"/>
      <c r="V232" s="249"/>
      <c r="W232" s="249"/>
      <c r="X232" s="249"/>
      <c r="Y232" s="249">
        <f t="shared" si="16"/>
        <v>0</v>
      </c>
      <c r="Z232" s="249">
        <v>16214</v>
      </c>
      <c r="AA232" s="249" t="s">
        <v>1308</v>
      </c>
      <c r="AB232" s="250">
        <v>44253</v>
      </c>
      <c r="AC232" s="251">
        <v>44286</v>
      </c>
      <c r="AD232" s="249"/>
      <c r="AE232" s="249"/>
      <c r="AF232" s="250"/>
      <c r="AG232" s="250"/>
      <c r="AH232" s="249"/>
      <c r="AI232" s="249"/>
      <c r="AJ232" s="250"/>
      <c r="AK232" s="249"/>
      <c r="AL232" s="249"/>
      <c r="AM232" s="249"/>
      <c r="AN232" s="249"/>
      <c r="AO232" s="249"/>
      <c r="AP232" s="249"/>
      <c r="AQ232" s="249"/>
      <c r="AR232" s="249"/>
      <c r="AS232" s="249"/>
      <c r="AT232" s="249">
        <v>16214</v>
      </c>
      <c r="AU232" s="249">
        <f t="shared" si="17"/>
        <v>16214</v>
      </c>
      <c r="AV232" s="269">
        <f t="shared" si="18"/>
        <v>16214</v>
      </c>
      <c r="AW232" s="269">
        <f t="shared" si="19"/>
        <v>0</v>
      </c>
    </row>
    <row r="233" spans="2:49" s="140" customFormat="1" ht="22.5" x14ac:dyDescent="0.25">
      <c r="B233" s="227">
        <v>218</v>
      </c>
      <c r="C233" s="227" t="s">
        <v>39</v>
      </c>
      <c r="D233" s="28">
        <v>30416872</v>
      </c>
      <c r="E233" s="247" t="s">
        <v>1511</v>
      </c>
      <c r="F233" s="247" t="s">
        <v>1256</v>
      </c>
      <c r="G233" s="229" t="s">
        <v>1237</v>
      </c>
      <c r="H233" s="247" t="s">
        <v>1370</v>
      </c>
      <c r="I233" s="247" t="s">
        <v>72</v>
      </c>
      <c r="J233" s="248">
        <v>406688</v>
      </c>
      <c r="K233" s="248"/>
      <c r="L233" s="248">
        <f t="shared" si="15"/>
        <v>406688</v>
      </c>
      <c r="M233" s="249"/>
      <c r="N233" s="249"/>
      <c r="O233" s="249"/>
      <c r="P233" s="249"/>
      <c r="Q233" s="249"/>
      <c r="R233" s="249"/>
      <c r="S233" s="249"/>
      <c r="T233" s="249"/>
      <c r="U233" s="249"/>
      <c r="V233" s="249"/>
      <c r="W233" s="249"/>
      <c r="X233" s="249"/>
      <c r="Y233" s="249">
        <f t="shared" si="16"/>
        <v>0</v>
      </c>
      <c r="Z233" s="249">
        <v>335154</v>
      </c>
      <c r="AA233" s="249" t="s">
        <v>1308</v>
      </c>
      <c r="AB233" s="250">
        <v>44253</v>
      </c>
      <c r="AC233" s="251">
        <v>44286</v>
      </c>
      <c r="AD233" s="249"/>
      <c r="AE233" s="249"/>
      <c r="AF233" s="250"/>
      <c r="AG233" s="250"/>
      <c r="AH233" s="249"/>
      <c r="AI233" s="249"/>
      <c r="AJ233" s="250"/>
      <c r="AK233" s="249"/>
      <c r="AL233" s="249"/>
      <c r="AM233" s="249"/>
      <c r="AN233" s="249"/>
      <c r="AO233" s="249"/>
      <c r="AP233" s="249"/>
      <c r="AQ233" s="249"/>
      <c r="AR233" s="249"/>
      <c r="AS233" s="249"/>
      <c r="AT233" s="249">
        <v>335154</v>
      </c>
      <c r="AU233" s="249">
        <f t="shared" si="17"/>
        <v>335154</v>
      </c>
      <c r="AV233" s="269">
        <f t="shared" si="18"/>
        <v>335154</v>
      </c>
      <c r="AW233" s="269">
        <f t="shared" si="19"/>
        <v>0</v>
      </c>
    </row>
    <row r="234" spans="2:49" s="140" customFormat="1" ht="22.5" x14ac:dyDescent="0.25">
      <c r="B234" s="227">
        <v>219</v>
      </c>
      <c r="C234" s="227" t="s">
        <v>39</v>
      </c>
      <c r="D234" s="28">
        <v>30459830</v>
      </c>
      <c r="E234" s="247" t="s">
        <v>1512</v>
      </c>
      <c r="F234" s="247" t="s">
        <v>54</v>
      </c>
      <c r="G234" s="229" t="s">
        <v>1237</v>
      </c>
      <c r="H234" s="247" t="s">
        <v>1237</v>
      </c>
      <c r="I234" s="247" t="s">
        <v>72</v>
      </c>
      <c r="J234" s="248">
        <v>6707457</v>
      </c>
      <c r="K234" s="248"/>
      <c r="L234" s="248">
        <f t="shared" si="15"/>
        <v>6707457</v>
      </c>
      <c r="M234" s="249"/>
      <c r="N234" s="249"/>
      <c r="O234" s="249"/>
      <c r="P234" s="249"/>
      <c r="Q234" s="249"/>
      <c r="R234" s="249"/>
      <c r="S234" s="249"/>
      <c r="T234" s="249"/>
      <c r="U234" s="249"/>
      <c r="V234" s="249"/>
      <c r="W234" s="249"/>
      <c r="X234" s="249"/>
      <c r="Y234" s="249">
        <f t="shared" si="16"/>
        <v>0</v>
      </c>
      <c r="Z234" s="249">
        <v>15739</v>
      </c>
      <c r="AA234" s="249" t="s">
        <v>1308</v>
      </c>
      <c r="AB234" s="250">
        <v>44253</v>
      </c>
      <c r="AC234" s="251">
        <v>44286</v>
      </c>
      <c r="AD234" s="249"/>
      <c r="AE234" s="249"/>
      <c r="AF234" s="250"/>
      <c r="AG234" s="250"/>
      <c r="AH234" s="249"/>
      <c r="AI234" s="249"/>
      <c r="AJ234" s="250"/>
      <c r="AK234" s="249"/>
      <c r="AL234" s="249"/>
      <c r="AM234" s="249"/>
      <c r="AN234" s="249"/>
      <c r="AO234" s="249"/>
      <c r="AP234" s="249"/>
      <c r="AQ234" s="249"/>
      <c r="AR234" s="249"/>
      <c r="AS234" s="249"/>
      <c r="AT234" s="249">
        <v>15739</v>
      </c>
      <c r="AU234" s="249">
        <f t="shared" si="17"/>
        <v>15739</v>
      </c>
      <c r="AV234" s="269">
        <f t="shared" si="18"/>
        <v>15739</v>
      </c>
      <c r="AW234" s="269">
        <f t="shared" si="19"/>
        <v>0</v>
      </c>
    </row>
    <row r="235" spans="2:49" s="140" customFormat="1" x14ac:dyDescent="0.25">
      <c r="B235" s="227">
        <v>220</v>
      </c>
      <c r="C235" s="227" t="s">
        <v>39</v>
      </c>
      <c r="D235" s="28">
        <v>30397336</v>
      </c>
      <c r="E235" s="247" t="s">
        <v>1513</v>
      </c>
      <c r="F235" s="247" t="s">
        <v>54</v>
      </c>
      <c r="G235" s="229" t="s">
        <v>1237</v>
      </c>
      <c r="H235" s="247" t="s">
        <v>1315</v>
      </c>
      <c r="I235" s="247" t="s">
        <v>72</v>
      </c>
      <c r="J235" s="248">
        <v>5612456</v>
      </c>
      <c r="K235" s="248"/>
      <c r="L235" s="248">
        <f t="shared" si="15"/>
        <v>5612456</v>
      </c>
      <c r="M235" s="249"/>
      <c r="N235" s="249"/>
      <c r="O235" s="249"/>
      <c r="P235" s="249"/>
      <c r="Q235" s="249"/>
      <c r="R235" s="249"/>
      <c r="S235" s="249"/>
      <c r="T235" s="249"/>
      <c r="U235" s="249"/>
      <c r="V235" s="249"/>
      <c r="W235" s="249"/>
      <c r="X235" s="249"/>
      <c r="Y235" s="249">
        <f t="shared" si="16"/>
        <v>0</v>
      </c>
      <c r="Z235" s="249">
        <v>900002</v>
      </c>
      <c r="AA235" s="249" t="s">
        <v>1308</v>
      </c>
      <c r="AB235" s="250">
        <v>44253</v>
      </c>
      <c r="AC235" s="251">
        <v>44286</v>
      </c>
      <c r="AD235" s="249"/>
      <c r="AE235" s="249"/>
      <c r="AF235" s="250"/>
      <c r="AG235" s="250"/>
      <c r="AH235" s="249"/>
      <c r="AI235" s="249"/>
      <c r="AJ235" s="250"/>
      <c r="AK235" s="249"/>
      <c r="AL235" s="249"/>
      <c r="AM235" s="249"/>
      <c r="AN235" s="249"/>
      <c r="AO235" s="249"/>
      <c r="AP235" s="249"/>
      <c r="AQ235" s="249"/>
      <c r="AR235" s="249"/>
      <c r="AS235" s="249"/>
      <c r="AT235" s="249">
        <v>900002</v>
      </c>
      <c r="AU235" s="249">
        <f t="shared" si="17"/>
        <v>900002</v>
      </c>
      <c r="AV235" s="269">
        <f t="shared" si="18"/>
        <v>900002</v>
      </c>
      <c r="AW235" s="269">
        <f t="shared" si="19"/>
        <v>0</v>
      </c>
    </row>
    <row r="236" spans="2:49" s="140" customFormat="1" x14ac:dyDescent="0.25">
      <c r="B236" s="227">
        <v>221</v>
      </c>
      <c r="C236" s="227" t="s">
        <v>39</v>
      </c>
      <c r="D236" s="28">
        <v>40015725</v>
      </c>
      <c r="E236" s="247" t="s">
        <v>1514</v>
      </c>
      <c r="F236" s="247" t="s">
        <v>54</v>
      </c>
      <c r="G236" s="229" t="s">
        <v>1237</v>
      </c>
      <c r="H236" s="247" t="s">
        <v>1237</v>
      </c>
      <c r="I236" s="247" t="s">
        <v>72</v>
      </c>
      <c r="J236" s="248">
        <v>3691119</v>
      </c>
      <c r="K236" s="248"/>
      <c r="L236" s="248">
        <f t="shared" si="15"/>
        <v>3691119</v>
      </c>
      <c r="M236" s="249"/>
      <c r="N236" s="249"/>
      <c r="O236" s="249"/>
      <c r="P236" s="249"/>
      <c r="Q236" s="249"/>
      <c r="R236" s="249"/>
      <c r="S236" s="249"/>
      <c r="T236" s="249"/>
      <c r="U236" s="249"/>
      <c r="V236" s="249"/>
      <c r="W236" s="249"/>
      <c r="X236" s="249"/>
      <c r="Y236" s="249">
        <f t="shared" si="16"/>
        <v>0</v>
      </c>
      <c r="Z236" s="249">
        <v>1</v>
      </c>
      <c r="AA236" s="249" t="s">
        <v>1308</v>
      </c>
      <c r="AB236" s="250">
        <v>44253</v>
      </c>
      <c r="AC236" s="251">
        <v>44286</v>
      </c>
      <c r="AD236" s="249"/>
      <c r="AE236" s="249"/>
      <c r="AF236" s="250"/>
      <c r="AG236" s="250"/>
      <c r="AH236" s="249"/>
      <c r="AI236" s="249"/>
      <c r="AJ236" s="250"/>
      <c r="AK236" s="249"/>
      <c r="AL236" s="249"/>
      <c r="AM236" s="249"/>
      <c r="AN236" s="249"/>
      <c r="AO236" s="249"/>
      <c r="AP236" s="249"/>
      <c r="AQ236" s="249"/>
      <c r="AR236" s="249"/>
      <c r="AS236" s="249"/>
      <c r="AT236" s="249">
        <v>1</v>
      </c>
      <c r="AU236" s="249">
        <f t="shared" si="17"/>
        <v>1</v>
      </c>
      <c r="AV236" s="269">
        <f t="shared" si="18"/>
        <v>1</v>
      </c>
      <c r="AW236" s="269">
        <f t="shared" si="19"/>
        <v>0</v>
      </c>
    </row>
    <row r="237" spans="2:49" s="140" customFormat="1" x14ac:dyDescent="0.25">
      <c r="B237" s="227">
        <v>222</v>
      </c>
      <c r="C237" s="227" t="s">
        <v>39</v>
      </c>
      <c r="D237" s="28">
        <v>30482140</v>
      </c>
      <c r="E237" s="247" t="s">
        <v>1515</v>
      </c>
      <c r="F237" s="247" t="s">
        <v>54</v>
      </c>
      <c r="G237" s="229" t="s">
        <v>1237</v>
      </c>
      <c r="H237" s="247" t="s">
        <v>1303</v>
      </c>
      <c r="I237" s="247" t="s">
        <v>72</v>
      </c>
      <c r="J237" s="248">
        <v>1009253</v>
      </c>
      <c r="K237" s="248"/>
      <c r="L237" s="248">
        <f t="shared" si="15"/>
        <v>1009253</v>
      </c>
      <c r="M237" s="249"/>
      <c r="N237" s="249"/>
      <c r="O237" s="249"/>
      <c r="P237" s="249"/>
      <c r="Q237" s="249"/>
      <c r="R237" s="249"/>
      <c r="S237" s="249"/>
      <c r="T237" s="249"/>
      <c r="U237" s="249"/>
      <c r="V237" s="249"/>
      <c r="W237" s="249"/>
      <c r="X237" s="249"/>
      <c r="Y237" s="249">
        <f t="shared" si="16"/>
        <v>0</v>
      </c>
      <c r="Z237" s="249">
        <v>545472</v>
      </c>
      <c r="AA237" s="249" t="s">
        <v>1308</v>
      </c>
      <c r="AB237" s="250">
        <v>44253</v>
      </c>
      <c r="AC237" s="251">
        <v>44286</v>
      </c>
      <c r="AD237" s="249"/>
      <c r="AE237" s="249"/>
      <c r="AF237" s="250"/>
      <c r="AG237" s="250"/>
      <c r="AH237" s="249"/>
      <c r="AI237" s="249"/>
      <c r="AJ237" s="250"/>
      <c r="AK237" s="249"/>
      <c r="AL237" s="249"/>
      <c r="AM237" s="249"/>
      <c r="AN237" s="249"/>
      <c r="AO237" s="249"/>
      <c r="AP237" s="249"/>
      <c r="AQ237" s="249"/>
      <c r="AR237" s="249"/>
      <c r="AS237" s="249"/>
      <c r="AT237" s="249">
        <v>545472</v>
      </c>
      <c r="AU237" s="249">
        <f t="shared" si="17"/>
        <v>545472</v>
      </c>
      <c r="AV237" s="269">
        <f t="shared" si="18"/>
        <v>545472</v>
      </c>
      <c r="AW237" s="269">
        <f t="shared" si="19"/>
        <v>0</v>
      </c>
    </row>
    <row r="238" spans="2:49" s="140" customFormat="1" ht="22.5" x14ac:dyDescent="0.25">
      <c r="B238" s="227">
        <v>223</v>
      </c>
      <c r="C238" s="227" t="s">
        <v>39</v>
      </c>
      <c r="D238" s="28">
        <v>40005962</v>
      </c>
      <c r="E238" s="247" t="s">
        <v>1516</v>
      </c>
      <c r="F238" s="247" t="s">
        <v>54</v>
      </c>
      <c r="G238" s="229" t="s">
        <v>1237</v>
      </c>
      <c r="H238" s="247" t="s">
        <v>1254</v>
      </c>
      <c r="I238" s="247" t="s">
        <v>72</v>
      </c>
      <c r="J238" s="248">
        <v>2659864</v>
      </c>
      <c r="K238" s="248"/>
      <c r="L238" s="248">
        <f t="shared" si="15"/>
        <v>2659864</v>
      </c>
      <c r="M238" s="249"/>
      <c r="N238" s="249"/>
      <c r="O238" s="249"/>
      <c r="P238" s="249"/>
      <c r="Q238" s="249"/>
      <c r="R238" s="249"/>
      <c r="S238" s="249"/>
      <c r="T238" s="249"/>
      <c r="U238" s="249"/>
      <c r="V238" s="249"/>
      <c r="W238" s="249"/>
      <c r="X238" s="249"/>
      <c r="Y238" s="249">
        <f t="shared" si="16"/>
        <v>0</v>
      </c>
      <c r="Z238" s="249">
        <v>531303</v>
      </c>
      <c r="AA238" s="249" t="s">
        <v>1308</v>
      </c>
      <c r="AB238" s="250">
        <v>44253</v>
      </c>
      <c r="AC238" s="251">
        <v>44286</v>
      </c>
      <c r="AD238" s="249"/>
      <c r="AE238" s="249"/>
      <c r="AF238" s="250"/>
      <c r="AG238" s="250"/>
      <c r="AH238" s="249"/>
      <c r="AI238" s="249"/>
      <c r="AJ238" s="250"/>
      <c r="AK238" s="249"/>
      <c r="AL238" s="249"/>
      <c r="AM238" s="249"/>
      <c r="AN238" s="249"/>
      <c r="AO238" s="249"/>
      <c r="AP238" s="249"/>
      <c r="AQ238" s="249"/>
      <c r="AR238" s="249"/>
      <c r="AS238" s="249"/>
      <c r="AT238" s="249">
        <v>531303</v>
      </c>
      <c r="AU238" s="249">
        <f t="shared" si="17"/>
        <v>531303</v>
      </c>
      <c r="AV238" s="269">
        <f t="shared" si="18"/>
        <v>531303</v>
      </c>
      <c r="AW238" s="269">
        <f t="shared" si="19"/>
        <v>0</v>
      </c>
    </row>
    <row r="239" spans="2:49" s="140" customFormat="1" ht="22.5" x14ac:dyDescent="0.25">
      <c r="B239" s="227">
        <v>224</v>
      </c>
      <c r="C239" s="227" t="s">
        <v>39</v>
      </c>
      <c r="D239" s="28">
        <v>30398026</v>
      </c>
      <c r="E239" s="247" t="s">
        <v>1517</v>
      </c>
      <c r="F239" s="247" t="s">
        <v>1256</v>
      </c>
      <c r="G239" s="229" t="s">
        <v>1237</v>
      </c>
      <c r="H239" s="247" t="s">
        <v>1237</v>
      </c>
      <c r="I239" s="247" t="s">
        <v>57</v>
      </c>
      <c r="J239" s="248">
        <v>34288</v>
      </c>
      <c r="K239" s="248">
        <v>15999</v>
      </c>
      <c r="L239" s="248">
        <f t="shared" si="15"/>
        <v>18289</v>
      </c>
      <c r="M239" s="249"/>
      <c r="N239" s="249"/>
      <c r="O239" s="249"/>
      <c r="P239" s="249"/>
      <c r="Q239" s="249"/>
      <c r="R239" s="249"/>
      <c r="S239" s="249"/>
      <c r="T239" s="249"/>
      <c r="U239" s="249"/>
      <c r="V239" s="249"/>
      <c r="W239" s="249"/>
      <c r="X239" s="249"/>
      <c r="Y239" s="249">
        <f t="shared" si="16"/>
        <v>0</v>
      </c>
      <c r="Z239" s="249">
        <v>15251</v>
      </c>
      <c r="AA239" s="249" t="s">
        <v>1308</v>
      </c>
      <c r="AB239" s="250">
        <v>44253</v>
      </c>
      <c r="AC239" s="251">
        <v>44286</v>
      </c>
      <c r="AD239" s="249"/>
      <c r="AE239" s="249"/>
      <c r="AF239" s="250"/>
      <c r="AG239" s="250"/>
      <c r="AH239" s="249"/>
      <c r="AI239" s="249"/>
      <c r="AJ239" s="250"/>
      <c r="AK239" s="249"/>
      <c r="AL239" s="249"/>
      <c r="AM239" s="249"/>
      <c r="AN239" s="249"/>
      <c r="AO239" s="249"/>
      <c r="AP239" s="249"/>
      <c r="AQ239" s="249"/>
      <c r="AR239" s="249"/>
      <c r="AS239" s="249"/>
      <c r="AT239" s="249">
        <v>15251</v>
      </c>
      <c r="AU239" s="249">
        <f t="shared" si="17"/>
        <v>15251</v>
      </c>
      <c r="AV239" s="269">
        <f t="shared" si="18"/>
        <v>15251</v>
      </c>
      <c r="AW239" s="269">
        <f t="shared" si="19"/>
        <v>0</v>
      </c>
    </row>
    <row r="240" spans="2:49" s="140" customFormat="1" ht="22.5" x14ac:dyDescent="0.25">
      <c r="B240" s="227">
        <v>225</v>
      </c>
      <c r="C240" s="227" t="s">
        <v>39</v>
      </c>
      <c r="D240" s="28">
        <v>30459096</v>
      </c>
      <c r="E240" s="247" t="s">
        <v>1518</v>
      </c>
      <c r="F240" s="247" t="s">
        <v>54</v>
      </c>
      <c r="G240" s="229" t="s">
        <v>1237</v>
      </c>
      <c r="H240" s="247" t="s">
        <v>1472</v>
      </c>
      <c r="I240" s="247" t="s">
        <v>72</v>
      </c>
      <c r="J240" s="248">
        <v>214416</v>
      </c>
      <c r="K240" s="248"/>
      <c r="L240" s="248">
        <f t="shared" si="15"/>
        <v>214416</v>
      </c>
      <c r="M240" s="249"/>
      <c r="N240" s="249"/>
      <c r="O240" s="249"/>
      <c r="P240" s="249"/>
      <c r="Q240" s="249"/>
      <c r="R240" s="249"/>
      <c r="S240" s="249"/>
      <c r="T240" s="249"/>
      <c r="U240" s="249"/>
      <c r="V240" s="249"/>
      <c r="W240" s="249"/>
      <c r="X240" s="249"/>
      <c r="Y240" s="249">
        <f t="shared" si="16"/>
        <v>0</v>
      </c>
      <c r="Z240" s="249">
        <v>213338</v>
      </c>
      <c r="AA240" s="249" t="s">
        <v>1486</v>
      </c>
      <c r="AB240" s="250">
        <v>44253</v>
      </c>
      <c r="AC240" s="251">
        <v>44273</v>
      </c>
      <c r="AD240" s="249"/>
      <c r="AE240" s="249"/>
      <c r="AF240" s="250"/>
      <c r="AG240" s="250"/>
      <c r="AH240" s="249"/>
      <c r="AI240" s="249"/>
      <c r="AJ240" s="250"/>
      <c r="AK240" s="249"/>
      <c r="AL240" s="249"/>
      <c r="AM240" s="249"/>
      <c r="AN240" s="249"/>
      <c r="AO240" s="249"/>
      <c r="AP240" s="249"/>
      <c r="AQ240" s="249"/>
      <c r="AR240" s="249"/>
      <c r="AS240" s="249"/>
      <c r="AT240" s="249">
        <v>213338</v>
      </c>
      <c r="AU240" s="249">
        <f t="shared" si="17"/>
        <v>213338</v>
      </c>
      <c r="AV240" s="269">
        <f t="shared" si="18"/>
        <v>213338</v>
      </c>
      <c r="AW240" s="269">
        <f t="shared" si="19"/>
        <v>0</v>
      </c>
    </row>
    <row r="241" spans="2:49" s="140" customFormat="1" ht="22.5" x14ac:dyDescent="0.25">
      <c r="B241" s="227">
        <v>226</v>
      </c>
      <c r="C241" s="227" t="s">
        <v>39</v>
      </c>
      <c r="D241" s="28">
        <v>40008791</v>
      </c>
      <c r="E241" s="247" t="s">
        <v>1519</v>
      </c>
      <c r="F241" s="247" t="s">
        <v>54</v>
      </c>
      <c r="G241" s="229" t="s">
        <v>1237</v>
      </c>
      <c r="H241" s="247" t="s">
        <v>1249</v>
      </c>
      <c r="I241" s="247" t="s">
        <v>72</v>
      </c>
      <c r="J241" s="248">
        <v>186101</v>
      </c>
      <c r="K241" s="248"/>
      <c r="L241" s="248">
        <f t="shared" si="15"/>
        <v>186101</v>
      </c>
      <c r="M241" s="249"/>
      <c r="N241" s="249"/>
      <c r="O241" s="249"/>
      <c r="P241" s="249"/>
      <c r="Q241" s="249"/>
      <c r="R241" s="249"/>
      <c r="S241" s="249"/>
      <c r="T241" s="249"/>
      <c r="U241" s="249"/>
      <c r="V241" s="249"/>
      <c r="W241" s="249"/>
      <c r="X241" s="249"/>
      <c r="Y241" s="249">
        <f t="shared" si="16"/>
        <v>0</v>
      </c>
      <c r="Z241" s="249">
        <v>171001</v>
      </c>
      <c r="AA241" s="249" t="s">
        <v>1486</v>
      </c>
      <c r="AB241" s="250">
        <v>44253</v>
      </c>
      <c r="AC241" s="251">
        <v>44273</v>
      </c>
      <c r="AD241" s="249"/>
      <c r="AE241" s="249"/>
      <c r="AF241" s="250"/>
      <c r="AG241" s="250"/>
      <c r="AH241" s="249"/>
      <c r="AI241" s="249"/>
      <c r="AJ241" s="250"/>
      <c r="AK241" s="249"/>
      <c r="AL241" s="249"/>
      <c r="AM241" s="249"/>
      <c r="AN241" s="249"/>
      <c r="AO241" s="249"/>
      <c r="AP241" s="249"/>
      <c r="AQ241" s="249"/>
      <c r="AR241" s="249"/>
      <c r="AS241" s="249"/>
      <c r="AT241" s="249">
        <v>171001</v>
      </c>
      <c r="AU241" s="249">
        <f t="shared" si="17"/>
        <v>171001</v>
      </c>
      <c r="AV241" s="269">
        <f t="shared" si="18"/>
        <v>171001</v>
      </c>
      <c r="AW241" s="269">
        <f t="shared" si="19"/>
        <v>0</v>
      </c>
    </row>
    <row r="242" spans="2:49" s="140" customFormat="1" ht="22.5" x14ac:dyDescent="0.25">
      <c r="B242" s="227">
        <v>227</v>
      </c>
      <c r="C242" s="227" t="s">
        <v>39</v>
      </c>
      <c r="D242" s="28">
        <v>30481728</v>
      </c>
      <c r="E242" s="247" t="s">
        <v>1520</v>
      </c>
      <c r="F242" s="247" t="s">
        <v>54</v>
      </c>
      <c r="G242" s="229" t="s">
        <v>1237</v>
      </c>
      <c r="H242" s="247" t="s">
        <v>1249</v>
      </c>
      <c r="I242" s="247" t="s">
        <v>72</v>
      </c>
      <c r="J242" s="248">
        <v>208012</v>
      </c>
      <c r="K242" s="248"/>
      <c r="L242" s="248">
        <f t="shared" si="15"/>
        <v>208012</v>
      </c>
      <c r="M242" s="249"/>
      <c r="N242" s="249"/>
      <c r="O242" s="249">
        <v>1359.4</v>
      </c>
      <c r="P242" s="249"/>
      <c r="Q242" s="249"/>
      <c r="R242" s="249"/>
      <c r="S242" s="249"/>
      <c r="T242" s="249"/>
      <c r="U242" s="249"/>
      <c r="V242" s="249"/>
      <c r="W242" s="249"/>
      <c r="X242" s="249"/>
      <c r="Y242" s="249">
        <f t="shared" si="16"/>
        <v>1359.4</v>
      </c>
      <c r="Z242" s="249">
        <v>205849</v>
      </c>
      <c r="AA242" s="249" t="s">
        <v>1486</v>
      </c>
      <c r="AB242" s="250">
        <v>44253</v>
      </c>
      <c r="AC242" s="251">
        <v>44273</v>
      </c>
      <c r="AD242" s="249"/>
      <c r="AE242" s="249"/>
      <c r="AF242" s="250"/>
      <c r="AG242" s="250"/>
      <c r="AH242" s="249"/>
      <c r="AI242" s="249"/>
      <c r="AJ242" s="250"/>
      <c r="AK242" s="249"/>
      <c r="AL242" s="249"/>
      <c r="AM242" s="249"/>
      <c r="AN242" s="249"/>
      <c r="AO242" s="249"/>
      <c r="AP242" s="249"/>
      <c r="AQ242" s="249"/>
      <c r="AR242" s="249"/>
      <c r="AS242" s="249"/>
      <c r="AT242" s="249">
        <v>205849</v>
      </c>
      <c r="AU242" s="249">
        <f t="shared" si="17"/>
        <v>204489.60000000001</v>
      </c>
      <c r="AV242" s="269">
        <f t="shared" si="18"/>
        <v>205849</v>
      </c>
      <c r="AW242" s="269">
        <f t="shared" si="19"/>
        <v>0</v>
      </c>
    </row>
    <row r="243" spans="2:49" s="140" customFormat="1" x14ac:dyDescent="0.25">
      <c r="B243" s="227">
        <v>228</v>
      </c>
      <c r="C243" s="227" t="s">
        <v>39</v>
      </c>
      <c r="D243" s="28">
        <v>40007797</v>
      </c>
      <c r="E243" s="247" t="s">
        <v>1521</v>
      </c>
      <c r="F243" s="247" t="s">
        <v>54</v>
      </c>
      <c r="G243" s="229" t="s">
        <v>1237</v>
      </c>
      <c r="H243" s="247" t="s">
        <v>1272</v>
      </c>
      <c r="I243" s="247" t="s">
        <v>72</v>
      </c>
      <c r="J243" s="248">
        <v>94323</v>
      </c>
      <c r="K243" s="248"/>
      <c r="L243" s="248">
        <f t="shared" si="15"/>
        <v>94323</v>
      </c>
      <c r="M243" s="249"/>
      <c r="N243" s="249"/>
      <c r="O243" s="249"/>
      <c r="P243" s="249"/>
      <c r="Q243" s="249"/>
      <c r="R243" s="249"/>
      <c r="S243" s="249"/>
      <c r="T243" s="249"/>
      <c r="U243" s="249"/>
      <c r="V243" s="249"/>
      <c r="W243" s="249"/>
      <c r="X243" s="249"/>
      <c r="Y243" s="249">
        <f t="shared" si="16"/>
        <v>0</v>
      </c>
      <c r="Z243" s="249">
        <v>92612</v>
      </c>
      <c r="AA243" s="249" t="s">
        <v>1486</v>
      </c>
      <c r="AB243" s="250">
        <v>44253</v>
      </c>
      <c r="AC243" s="251">
        <v>44273</v>
      </c>
      <c r="AD243" s="249"/>
      <c r="AE243" s="249"/>
      <c r="AF243" s="250"/>
      <c r="AG243" s="250"/>
      <c r="AH243" s="249"/>
      <c r="AI243" s="249"/>
      <c r="AJ243" s="250"/>
      <c r="AK243" s="249"/>
      <c r="AL243" s="249"/>
      <c r="AM243" s="249"/>
      <c r="AN243" s="249"/>
      <c r="AO243" s="249"/>
      <c r="AP243" s="249"/>
      <c r="AQ243" s="249"/>
      <c r="AR243" s="249"/>
      <c r="AS243" s="249"/>
      <c r="AT243" s="249">
        <v>92612</v>
      </c>
      <c r="AU243" s="249">
        <f t="shared" si="17"/>
        <v>92612</v>
      </c>
      <c r="AV243" s="269">
        <f t="shared" si="18"/>
        <v>92612</v>
      </c>
      <c r="AW243" s="269">
        <f t="shared" si="19"/>
        <v>0</v>
      </c>
    </row>
    <row r="244" spans="2:49" s="140" customFormat="1" ht="22.5" x14ac:dyDescent="0.25">
      <c r="B244" s="227">
        <v>229</v>
      </c>
      <c r="C244" s="227" t="s">
        <v>39</v>
      </c>
      <c r="D244" s="28">
        <v>40017130</v>
      </c>
      <c r="E244" s="247" t="s">
        <v>1522</v>
      </c>
      <c r="F244" s="247" t="s">
        <v>54</v>
      </c>
      <c r="G244" s="229" t="s">
        <v>1237</v>
      </c>
      <c r="H244" s="247" t="s">
        <v>1329</v>
      </c>
      <c r="I244" s="247" t="s">
        <v>72</v>
      </c>
      <c r="J244" s="248">
        <v>453796</v>
      </c>
      <c r="K244" s="248"/>
      <c r="L244" s="248">
        <f t="shared" si="15"/>
        <v>453796</v>
      </c>
      <c r="M244" s="249"/>
      <c r="N244" s="249"/>
      <c r="O244" s="249"/>
      <c r="P244" s="249"/>
      <c r="Q244" s="249"/>
      <c r="R244" s="249"/>
      <c r="S244" s="249"/>
      <c r="T244" s="249"/>
      <c r="U244" s="249"/>
      <c r="V244" s="249"/>
      <c r="W244" s="249"/>
      <c r="X244" s="249"/>
      <c r="Y244" s="249">
        <f t="shared" si="16"/>
        <v>0</v>
      </c>
      <c r="Z244" s="249">
        <v>269401</v>
      </c>
      <c r="AA244" s="249" t="s">
        <v>1486</v>
      </c>
      <c r="AB244" s="250">
        <v>44253</v>
      </c>
      <c r="AC244" s="251">
        <v>44273</v>
      </c>
      <c r="AD244" s="249"/>
      <c r="AE244" s="249"/>
      <c r="AF244" s="250"/>
      <c r="AG244" s="250"/>
      <c r="AH244" s="249"/>
      <c r="AI244" s="249"/>
      <c r="AJ244" s="250"/>
      <c r="AK244" s="249"/>
      <c r="AL244" s="249"/>
      <c r="AM244" s="249"/>
      <c r="AN244" s="249"/>
      <c r="AO244" s="249"/>
      <c r="AP244" s="249"/>
      <c r="AQ244" s="249"/>
      <c r="AR244" s="249"/>
      <c r="AS244" s="249"/>
      <c r="AT244" s="249">
        <v>269401</v>
      </c>
      <c r="AU244" s="249">
        <f t="shared" si="17"/>
        <v>269401</v>
      </c>
      <c r="AV244" s="269">
        <f t="shared" si="18"/>
        <v>269401</v>
      </c>
      <c r="AW244" s="269">
        <f t="shared" si="19"/>
        <v>0</v>
      </c>
    </row>
    <row r="245" spans="2:49" s="140" customFormat="1" ht="22.5" x14ac:dyDescent="0.25">
      <c r="B245" s="227">
        <v>230</v>
      </c>
      <c r="C245" s="227" t="s">
        <v>39</v>
      </c>
      <c r="D245" s="28">
        <v>40014055</v>
      </c>
      <c r="E245" s="247" t="s">
        <v>1523</v>
      </c>
      <c r="F245" s="247" t="s">
        <v>54</v>
      </c>
      <c r="G245" s="229" t="s">
        <v>1237</v>
      </c>
      <c r="H245" s="247" t="s">
        <v>1394</v>
      </c>
      <c r="I245" s="247" t="s">
        <v>72</v>
      </c>
      <c r="J245" s="248">
        <v>501924</v>
      </c>
      <c r="K245" s="248"/>
      <c r="L245" s="248">
        <f t="shared" si="15"/>
        <v>501924</v>
      </c>
      <c r="M245" s="249"/>
      <c r="N245" s="249"/>
      <c r="O245" s="249"/>
      <c r="P245" s="249"/>
      <c r="Q245" s="249"/>
      <c r="R245" s="249"/>
      <c r="S245" s="249"/>
      <c r="T245" s="249"/>
      <c r="U245" s="249"/>
      <c r="V245" s="249"/>
      <c r="W245" s="249"/>
      <c r="X245" s="249"/>
      <c r="Y245" s="249">
        <f t="shared" si="16"/>
        <v>0</v>
      </c>
      <c r="Z245" s="249">
        <v>240001</v>
      </c>
      <c r="AA245" s="249" t="s">
        <v>1486</v>
      </c>
      <c r="AB245" s="250">
        <v>44253</v>
      </c>
      <c r="AC245" s="251">
        <v>44273</v>
      </c>
      <c r="AD245" s="249"/>
      <c r="AE245" s="249"/>
      <c r="AF245" s="250"/>
      <c r="AG245" s="250"/>
      <c r="AH245" s="249"/>
      <c r="AI245" s="249"/>
      <c r="AJ245" s="250"/>
      <c r="AK245" s="249"/>
      <c r="AL245" s="249"/>
      <c r="AM245" s="249"/>
      <c r="AN245" s="249"/>
      <c r="AO245" s="249"/>
      <c r="AP245" s="249"/>
      <c r="AQ245" s="249"/>
      <c r="AR245" s="249"/>
      <c r="AS245" s="249"/>
      <c r="AT245" s="249">
        <v>240001</v>
      </c>
      <c r="AU245" s="249">
        <f t="shared" si="17"/>
        <v>240001</v>
      </c>
      <c r="AV245" s="269">
        <f t="shared" si="18"/>
        <v>240001</v>
      </c>
      <c r="AW245" s="269">
        <f t="shared" si="19"/>
        <v>0</v>
      </c>
    </row>
    <row r="246" spans="2:49" s="140" customFormat="1" ht="22.5" x14ac:dyDescent="0.25">
      <c r="B246" s="227">
        <v>231</v>
      </c>
      <c r="C246" s="227" t="s">
        <v>39</v>
      </c>
      <c r="D246" s="28">
        <v>30459759</v>
      </c>
      <c r="E246" s="247" t="s">
        <v>1524</v>
      </c>
      <c r="F246" s="247" t="s">
        <v>54</v>
      </c>
      <c r="G246" s="229" t="s">
        <v>1237</v>
      </c>
      <c r="H246" s="247" t="s">
        <v>1294</v>
      </c>
      <c r="I246" s="247" t="s">
        <v>72</v>
      </c>
      <c r="J246" s="248">
        <v>70406</v>
      </c>
      <c r="K246" s="248"/>
      <c r="L246" s="248">
        <f t="shared" si="15"/>
        <v>70406</v>
      </c>
      <c r="M246" s="249"/>
      <c r="N246" s="249"/>
      <c r="O246" s="249"/>
      <c r="P246" s="249"/>
      <c r="Q246" s="249"/>
      <c r="R246" s="249"/>
      <c r="S246" s="249"/>
      <c r="T246" s="249"/>
      <c r="U246" s="249"/>
      <c r="V246" s="249"/>
      <c r="W246" s="249"/>
      <c r="X246" s="249"/>
      <c r="Y246" s="249">
        <f t="shared" si="16"/>
        <v>0</v>
      </c>
      <c r="Z246" s="249">
        <v>68161</v>
      </c>
      <c r="AA246" s="249" t="s">
        <v>1486</v>
      </c>
      <c r="AB246" s="250">
        <v>44253</v>
      </c>
      <c r="AC246" s="251">
        <v>44273</v>
      </c>
      <c r="AD246" s="249"/>
      <c r="AE246" s="249"/>
      <c r="AF246" s="250"/>
      <c r="AG246" s="250"/>
      <c r="AH246" s="249"/>
      <c r="AI246" s="249"/>
      <c r="AJ246" s="250"/>
      <c r="AK246" s="249"/>
      <c r="AL246" s="249"/>
      <c r="AM246" s="249"/>
      <c r="AN246" s="249"/>
      <c r="AO246" s="249"/>
      <c r="AP246" s="249"/>
      <c r="AQ246" s="249"/>
      <c r="AR246" s="249"/>
      <c r="AS246" s="249"/>
      <c r="AT246" s="249">
        <v>68161</v>
      </c>
      <c r="AU246" s="249">
        <f t="shared" si="17"/>
        <v>68161</v>
      </c>
      <c r="AV246" s="269">
        <f t="shared" si="18"/>
        <v>68161</v>
      </c>
      <c r="AW246" s="269">
        <f t="shared" si="19"/>
        <v>0</v>
      </c>
    </row>
    <row r="247" spans="2:49" s="140" customFormat="1" x14ac:dyDescent="0.25">
      <c r="B247" s="227">
        <v>232</v>
      </c>
      <c r="C247" s="227" t="s">
        <v>39</v>
      </c>
      <c r="D247" s="28">
        <v>30439372</v>
      </c>
      <c r="E247" s="247" t="s">
        <v>1525</v>
      </c>
      <c r="F247" s="247" t="s">
        <v>54</v>
      </c>
      <c r="G247" s="229" t="s">
        <v>1237</v>
      </c>
      <c r="H247" s="247" t="s">
        <v>1389</v>
      </c>
      <c r="I247" s="247" t="s">
        <v>72</v>
      </c>
      <c r="J247" s="248">
        <v>1461479</v>
      </c>
      <c r="K247" s="248"/>
      <c r="L247" s="248">
        <f t="shared" si="15"/>
        <v>1461479</v>
      </c>
      <c r="M247" s="249"/>
      <c r="N247" s="249"/>
      <c r="O247" s="249"/>
      <c r="P247" s="249"/>
      <c r="Q247" s="249"/>
      <c r="R247" s="249"/>
      <c r="S247" s="249"/>
      <c r="T247" s="249"/>
      <c r="U247" s="249"/>
      <c r="V247" s="249"/>
      <c r="W247" s="249"/>
      <c r="X247" s="249"/>
      <c r="Y247" s="249">
        <f t="shared" si="16"/>
        <v>0</v>
      </c>
      <c r="Z247" s="249">
        <v>35004</v>
      </c>
      <c r="AA247" s="249" t="s">
        <v>1486</v>
      </c>
      <c r="AB247" s="250">
        <v>44253</v>
      </c>
      <c r="AC247" s="251">
        <v>44273</v>
      </c>
      <c r="AD247" s="249"/>
      <c r="AE247" s="249"/>
      <c r="AF247" s="250"/>
      <c r="AG247" s="250"/>
      <c r="AH247" s="249"/>
      <c r="AI247" s="249"/>
      <c r="AJ247" s="250"/>
      <c r="AK247" s="249"/>
      <c r="AL247" s="249"/>
      <c r="AM247" s="249"/>
      <c r="AN247" s="249"/>
      <c r="AO247" s="249"/>
      <c r="AP247" s="249"/>
      <c r="AQ247" s="249"/>
      <c r="AR247" s="249"/>
      <c r="AS247" s="249"/>
      <c r="AT247" s="249">
        <v>35004</v>
      </c>
      <c r="AU247" s="249">
        <f t="shared" si="17"/>
        <v>35004</v>
      </c>
      <c r="AV247" s="269">
        <f t="shared" si="18"/>
        <v>35004</v>
      </c>
      <c r="AW247" s="269">
        <f t="shared" si="19"/>
        <v>0</v>
      </c>
    </row>
    <row r="248" spans="2:49" s="140" customFormat="1" ht="22.5" x14ac:dyDescent="0.25">
      <c r="B248" s="227">
        <v>233</v>
      </c>
      <c r="C248" s="227" t="s">
        <v>39</v>
      </c>
      <c r="D248" s="28">
        <v>30454127</v>
      </c>
      <c r="E248" s="247" t="s">
        <v>1526</v>
      </c>
      <c r="F248" s="247" t="s">
        <v>54</v>
      </c>
      <c r="G248" s="229" t="s">
        <v>1237</v>
      </c>
      <c r="H248" s="247" t="s">
        <v>1315</v>
      </c>
      <c r="I248" s="247" t="s">
        <v>72</v>
      </c>
      <c r="J248" s="248">
        <v>245191</v>
      </c>
      <c r="K248" s="248"/>
      <c r="L248" s="248">
        <f t="shared" si="15"/>
        <v>245191</v>
      </c>
      <c r="M248" s="249"/>
      <c r="N248" s="249"/>
      <c r="O248" s="249"/>
      <c r="P248" s="249"/>
      <c r="Q248" s="249"/>
      <c r="R248" s="249"/>
      <c r="S248" s="249"/>
      <c r="T248" s="249"/>
      <c r="U248" s="249"/>
      <c r="V248" s="249"/>
      <c r="W248" s="249"/>
      <c r="X248" s="249"/>
      <c r="Y248" s="249">
        <f t="shared" si="16"/>
        <v>0</v>
      </c>
      <c r="Z248" s="249">
        <v>200001</v>
      </c>
      <c r="AA248" s="249" t="s">
        <v>1486</v>
      </c>
      <c r="AB248" s="250">
        <v>44253</v>
      </c>
      <c r="AC248" s="251">
        <v>44273</v>
      </c>
      <c r="AD248" s="249"/>
      <c r="AE248" s="249"/>
      <c r="AF248" s="250"/>
      <c r="AG248" s="250"/>
      <c r="AH248" s="249"/>
      <c r="AI248" s="249"/>
      <c r="AJ248" s="250"/>
      <c r="AK248" s="249"/>
      <c r="AL248" s="249"/>
      <c r="AM248" s="249"/>
      <c r="AN248" s="249"/>
      <c r="AO248" s="249"/>
      <c r="AP248" s="249"/>
      <c r="AQ248" s="249"/>
      <c r="AR248" s="249"/>
      <c r="AS248" s="249"/>
      <c r="AT248" s="249">
        <v>200001</v>
      </c>
      <c r="AU248" s="249">
        <f t="shared" si="17"/>
        <v>200001</v>
      </c>
      <c r="AV248" s="269">
        <f t="shared" si="18"/>
        <v>200001</v>
      </c>
      <c r="AW248" s="269">
        <f t="shared" si="19"/>
        <v>0</v>
      </c>
    </row>
    <row r="249" spans="2:49" s="140" customFormat="1" x14ac:dyDescent="0.25">
      <c r="B249" s="227">
        <v>234</v>
      </c>
      <c r="C249" s="227" t="s">
        <v>42</v>
      </c>
      <c r="D249" s="28">
        <v>30349031</v>
      </c>
      <c r="E249" s="247" t="s">
        <v>1527</v>
      </c>
      <c r="F249" s="247" t="s">
        <v>54</v>
      </c>
      <c r="G249" s="229" t="s">
        <v>1237</v>
      </c>
      <c r="H249" s="247" t="s">
        <v>1249</v>
      </c>
      <c r="I249" s="247" t="s">
        <v>72</v>
      </c>
      <c r="J249" s="248">
        <v>232547</v>
      </c>
      <c r="K249" s="248"/>
      <c r="L249" s="248">
        <f t="shared" si="15"/>
        <v>232547</v>
      </c>
      <c r="M249" s="249"/>
      <c r="N249" s="249"/>
      <c r="O249" s="249"/>
      <c r="P249" s="249"/>
      <c r="Q249" s="249"/>
      <c r="R249" s="249"/>
      <c r="S249" s="249"/>
      <c r="T249" s="249"/>
      <c r="U249" s="249"/>
      <c r="V249" s="249"/>
      <c r="W249" s="249"/>
      <c r="X249" s="249"/>
      <c r="Y249" s="249">
        <f t="shared" si="16"/>
        <v>0</v>
      </c>
      <c r="Z249" s="249">
        <v>79189</v>
      </c>
      <c r="AA249" s="249" t="s">
        <v>1486</v>
      </c>
      <c r="AB249" s="250">
        <v>44253</v>
      </c>
      <c r="AC249" s="251">
        <v>44273</v>
      </c>
      <c r="AD249" s="249"/>
      <c r="AE249" s="249"/>
      <c r="AF249" s="250"/>
      <c r="AG249" s="250"/>
      <c r="AH249" s="249"/>
      <c r="AI249" s="249"/>
      <c r="AJ249" s="250"/>
      <c r="AK249" s="249"/>
      <c r="AL249" s="249"/>
      <c r="AM249" s="249"/>
      <c r="AN249" s="249"/>
      <c r="AO249" s="249"/>
      <c r="AP249" s="249"/>
      <c r="AQ249" s="249"/>
      <c r="AR249" s="249"/>
      <c r="AS249" s="249"/>
      <c r="AT249" s="249">
        <v>79189</v>
      </c>
      <c r="AU249" s="249">
        <f t="shared" si="17"/>
        <v>79189</v>
      </c>
      <c r="AV249" s="269">
        <f t="shared" si="18"/>
        <v>79189</v>
      </c>
      <c r="AW249" s="269">
        <f t="shared" si="19"/>
        <v>0</v>
      </c>
    </row>
    <row r="250" spans="2:49" s="140" customFormat="1" ht="22.5" x14ac:dyDescent="0.25">
      <c r="B250" s="227">
        <v>235</v>
      </c>
      <c r="C250" s="227" t="s">
        <v>39</v>
      </c>
      <c r="D250" s="28">
        <v>30420432</v>
      </c>
      <c r="E250" s="247" t="s">
        <v>1528</v>
      </c>
      <c r="F250" s="247" t="s">
        <v>54</v>
      </c>
      <c r="G250" s="229" t="s">
        <v>1237</v>
      </c>
      <c r="H250" s="247" t="s">
        <v>1303</v>
      </c>
      <c r="I250" s="247" t="s">
        <v>57</v>
      </c>
      <c r="J250" s="248">
        <v>172061</v>
      </c>
      <c r="K250" s="248">
        <v>154184</v>
      </c>
      <c r="L250" s="248">
        <f t="shared" si="15"/>
        <v>17877</v>
      </c>
      <c r="M250" s="249"/>
      <c r="N250" s="249"/>
      <c r="O250" s="249"/>
      <c r="P250" s="249"/>
      <c r="Q250" s="249"/>
      <c r="R250" s="249"/>
      <c r="S250" s="249"/>
      <c r="T250" s="249"/>
      <c r="U250" s="249"/>
      <c r="V250" s="249"/>
      <c r="W250" s="249"/>
      <c r="X250" s="249"/>
      <c r="Y250" s="249">
        <f t="shared" si="16"/>
        <v>0</v>
      </c>
      <c r="Z250" s="249">
        <v>14356</v>
      </c>
      <c r="AA250" s="249" t="s">
        <v>1486</v>
      </c>
      <c r="AB250" s="250">
        <v>44253</v>
      </c>
      <c r="AC250" s="251">
        <v>44273</v>
      </c>
      <c r="AD250" s="249"/>
      <c r="AE250" s="249"/>
      <c r="AF250" s="250"/>
      <c r="AG250" s="250"/>
      <c r="AH250" s="249"/>
      <c r="AI250" s="249"/>
      <c r="AJ250" s="250"/>
      <c r="AK250" s="249"/>
      <c r="AL250" s="249"/>
      <c r="AM250" s="249"/>
      <c r="AN250" s="249"/>
      <c r="AO250" s="249"/>
      <c r="AP250" s="249"/>
      <c r="AQ250" s="249"/>
      <c r="AR250" s="249"/>
      <c r="AS250" s="249"/>
      <c r="AT250" s="249">
        <v>14356</v>
      </c>
      <c r="AU250" s="249">
        <f t="shared" si="17"/>
        <v>14356</v>
      </c>
      <c r="AV250" s="269">
        <f t="shared" si="18"/>
        <v>14356</v>
      </c>
      <c r="AW250" s="269">
        <f t="shared" si="19"/>
        <v>0</v>
      </c>
    </row>
    <row r="251" spans="2:49" s="140" customFormat="1" x14ac:dyDescent="0.25">
      <c r="B251" s="227">
        <v>236</v>
      </c>
      <c r="C251" s="227" t="s">
        <v>39</v>
      </c>
      <c r="D251" s="28">
        <v>30071172</v>
      </c>
      <c r="E251" s="247" t="s">
        <v>1529</v>
      </c>
      <c r="F251" s="247" t="s">
        <v>1256</v>
      </c>
      <c r="G251" s="229" t="s">
        <v>1237</v>
      </c>
      <c r="H251" s="247" t="s">
        <v>1260</v>
      </c>
      <c r="I251" s="247" t="s">
        <v>57</v>
      </c>
      <c r="J251" s="248">
        <v>189977</v>
      </c>
      <c r="K251" s="248">
        <v>121078</v>
      </c>
      <c r="L251" s="248">
        <f t="shared" si="15"/>
        <v>68899</v>
      </c>
      <c r="M251" s="249"/>
      <c r="N251" s="249"/>
      <c r="O251" s="249"/>
      <c r="P251" s="249"/>
      <c r="Q251" s="249"/>
      <c r="R251" s="249"/>
      <c r="S251" s="249"/>
      <c r="T251" s="249"/>
      <c r="U251" s="249"/>
      <c r="V251" s="249"/>
      <c r="W251" s="249"/>
      <c r="X251" s="249"/>
      <c r="Y251" s="249">
        <f t="shared" si="16"/>
        <v>0</v>
      </c>
      <c r="Z251" s="249">
        <v>16201</v>
      </c>
      <c r="AA251" s="249" t="s">
        <v>1240</v>
      </c>
      <c r="AB251" s="250">
        <v>44274</v>
      </c>
      <c r="AC251" s="251">
        <v>44279</v>
      </c>
      <c r="AD251" s="249"/>
      <c r="AE251" s="249"/>
      <c r="AF251" s="250"/>
      <c r="AG251" s="250"/>
      <c r="AH251" s="249"/>
      <c r="AI251" s="249"/>
      <c r="AJ251" s="250"/>
      <c r="AK251" s="249"/>
      <c r="AL251" s="249"/>
      <c r="AM251" s="249"/>
      <c r="AN251" s="249"/>
      <c r="AO251" s="249"/>
      <c r="AP251" s="249"/>
      <c r="AQ251" s="249"/>
      <c r="AR251" s="249"/>
      <c r="AS251" s="249"/>
      <c r="AT251" s="249">
        <v>16201</v>
      </c>
      <c r="AU251" s="249">
        <f t="shared" si="17"/>
        <v>16201</v>
      </c>
      <c r="AV251" s="269">
        <f t="shared" si="18"/>
        <v>16201</v>
      </c>
      <c r="AW251" s="269">
        <f t="shared" si="19"/>
        <v>0</v>
      </c>
    </row>
    <row r="252" spans="2:49" s="140" customFormat="1" x14ac:dyDescent="0.25">
      <c r="B252" s="227">
        <v>237</v>
      </c>
      <c r="C252" s="227" t="s">
        <v>39</v>
      </c>
      <c r="D252" s="28">
        <v>30114635</v>
      </c>
      <c r="E252" s="247" t="s">
        <v>1530</v>
      </c>
      <c r="F252" s="247" t="s">
        <v>54</v>
      </c>
      <c r="G252" s="229" t="s">
        <v>1237</v>
      </c>
      <c r="H252" s="247" t="s">
        <v>1303</v>
      </c>
      <c r="I252" s="247" t="s">
        <v>57</v>
      </c>
      <c r="J252" s="248">
        <v>1515139</v>
      </c>
      <c r="K252" s="248">
        <v>1080935</v>
      </c>
      <c r="L252" s="248">
        <f t="shared" si="15"/>
        <v>434204</v>
      </c>
      <c r="M252" s="249"/>
      <c r="N252" s="249"/>
      <c r="O252" s="249"/>
      <c r="P252" s="249"/>
      <c r="Q252" s="249"/>
      <c r="R252" s="249"/>
      <c r="S252" s="249"/>
      <c r="T252" s="249"/>
      <c r="U252" s="249"/>
      <c r="V252" s="249"/>
      <c r="W252" s="249"/>
      <c r="X252" s="249"/>
      <c r="Y252" s="249">
        <f t="shared" si="16"/>
        <v>0</v>
      </c>
      <c r="Z252" s="249">
        <v>266052</v>
      </c>
      <c r="AA252" s="249" t="s">
        <v>1292</v>
      </c>
      <c r="AB252" s="250">
        <v>44295</v>
      </c>
      <c r="AC252" s="251">
        <v>44301</v>
      </c>
      <c r="AD252" s="249"/>
      <c r="AE252" s="249"/>
      <c r="AF252" s="250"/>
      <c r="AG252" s="250"/>
      <c r="AH252" s="249"/>
      <c r="AI252" s="249"/>
      <c r="AJ252" s="250"/>
      <c r="AK252" s="249"/>
      <c r="AL252" s="249"/>
      <c r="AM252" s="249"/>
      <c r="AN252" s="249"/>
      <c r="AO252" s="249"/>
      <c r="AP252" s="249"/>
      <c r="AQ252" s="249"/>
      <c r="AR252" s="249"/>
      <c r="AS252" s="249"/>
      <c r="AT252" s="249">
        <v>266052</v>
      </c>
      <c r="AU252" s="249">
        <f t="shared" si="17"/>
        <v>266052</v>
      </c>
      <c r="AV252" s="269">
        <f t="shared" si="18"/>
        <v>266052</v>
      </c>
      <c r="AW252" s="269">
        <f t="shared" si="19"/>
        <v>0</v>
      </c>
    </row>
    <row r="253" spans="2:49" s="140" customFormat="1" x14ac:dyDescent="0.25">
      <c r="B253" s="227">
        <v>238</v>
      </c>
      <c r="C253" s="227" t="s">
        <v>39</v>
      </c>
      <c r="D253" s="28">
        <v>30406023</v>
      </c>
      <c r="E253" s="247" t="s">
        <v>1531</v>
      </c>
      <c r="F253" s="247" t="s">
        <v>54</v>
      </c>
      <c r="G253" s="229" t="s">
        <v>1237</v>
      </c>
      <c r="H253" s="247" t="s">
        <v>1315</v>
      </c>
      <c r="I253" s="247" t="s">
        <v>72</v>
      </c>
      <c r="J253" s="248">
        <v>262992</v>
      </c>
      <c r="K253" s="248"/>
      <c r="L253" s="248">
        <f t="shared" si="15"/>
        <v>262992</v>
      </c>
      <c r="M253" s="249"/>
      <c r="N253" s="249"/>
      <c r="O253" s="249"/>
      <c r="P253" s="249"/>
      <c r="Q253" s="249"/>
      <c r="R253" s="249"/>
      <c r="S253" s="249"/>
      <c r="T253" s="249"/>
      <c r="U253" s="249"/>
      <c r="V253" s="249"/>
      <c r="W253" s="249"/>
      <c r="X253" s="249"/>
      <c r="Y253" s="249">
        <f t="shared" si="16"/>
        <v>0</v>
      </c>
      <c r="Z253" s="249">
        <v>4</v>
      </c>
      <c r="AA253" s="249" t="s">
        <v>1336</v>
      </c>
      <c r="AB253" s="250">
        <v>44306</v>
      </c>
      <c r="AC253" s="249"/>
      <c r="AD253" s="249"/>
      <c r="AE253" s="249"/>
      <c r="AF253" s="250"/>
      <c r="AG253" s="250"/>
      <c r="AH253" s="249"/>
      <c r="AI253" s="249"/>
      <c r="AJ253" s="250"/>
      <c r="AK253" s="249"/>
      <c r="AL253" s="249"/>
      <c r="AM253" s="249"/>
      <c r="AN253" s="249"/>
      <c r="AO253" s="249"/>
      <c r="AP253" s="249"/>
      <c r="AQ253" s="249"/>
      <c r="AR253" s="249"/>
      <c r="AS253" s="249"/>
      <c r="AT253" s="249">
        <v>4</v>
      </c>
      <c r="AU253" s="249">
        <f t="shared" si="17"/>
        <v>4</v>
      </c>
      <c r="AV253" s="269">
        <f t="shared" si="18"/>
        <v>4</v>
      </c>
      <c r="AW253" s="269">
        <f t="shared" si="19"/>
        <v>0</v>
      </c>
    </row>
    <row r="254" spans="2:49" s="140" customFormat="1" x14ac:dyDescent="0.25">
      <c r="B254" s="227">
        <v>239</v>
      </c>
      <c r="C254" s="227" t="s">
        <v>42</v>
      </c>
      <c r="D254" s="28">
        <v>40019005</v>
      </c>
      <c r="E254" s="247" t="s">
        <v>1532</v>
      </c>
      <c r="F254" s="247" t="s">
        <v>54</v>
      </c>
      <c r="G254" s="229" t="s">
        <v>1237</v>
      </c>
      <c r="H254" s="247" t="s">
        <v>1294</v>
      </c>
      <c r="I254" s="247" t="s">
        <v>72</v>
      </c>
      <c r="J254" s="248">
        <v>46012</v>
      </c>
      <c r="K254" s="248"/>
      <c r="L254" s="248">
        <f t="shared" si="15"/>
        <v>46012</v>
      </c>
      <c r="M254" s="249"/>
      <c r="N254" s="249"/>
      <c r="O254" s="249"/>
      <c r="P254" s="249"/>
      <c r="Q254" s="249"/>
      <c r="R254" s="249"/>
      <c r="S254" s="249"/>
      <c r="T254" s="249"/>
      <c r="U254" s="249"/>
      <c r="V254" s="249"/>
      <c r="W254" s="249"/>
      <c r="X254" s="249"/>
      <c r="Y254" s="249">
        <f t="shared" si="16"/>
        <v>0</v>
      </c>
      <c r="Z254" s="249">
        <v>1</v>
      </c>
      <c r="AA254" s="249" t="s">
        <v>1336</v>
      </c>
      <c r="AB254" s="250">
        <v>44306</v>
      </c>
      <c r="AC254" s="249"/>
      <c r="AD254" s="249"/>
      <c r="AE254" s="249"/>
      <c r="AF254" s="250"/>
      <c r="AG254" s="250"/>
      <c r="AH254" s="249"/>
      <c r="AI254" s="249"/>
      <c r="AJ254" s="250"/>
      <c r="AK254" s="249"/>
      <c r="AL254" s="249"/>
      <c r="AM254" s="249"/>
      <c r="AN254" s="249"/>
      <c r="AO254" s="249"/>
      <c r="AP254" s="249"/>
      <c r="AQ254" s="249"/>
      <c r="AR254" s="249"/>
      <c r="AS254" s="249"/>
      <c r="AT254" s="249">
        <v>1</v>
      </c>
      <c r="AU254" s="249">
        <f t="shared" si="17"/>
        <v>1</v>
      </c>
      <c r="AV254" s="269">
        <f t="shared" si="18"/>
        <v>1</v>
      </c>
      <c r="AW254" s="269">
        <f t="shared" si="19"/>
        <v>0</v>
      </c>
    </row>
    <row r="255" spans="2:49" s="140" customFormat="1" x14ac:dyDescent="0.25">
      <c r="B255" s="227">
        <v>240</v>
      </c>
      <c r="C255" s="227" t="s">
        <v>39</v>
      </c>
      <c r="D255" s="28">
        <v>40019807</v>
      </c>
      <c r="E255" s="247" t="s">
        <v>1533</v>
      </c>
      <c r="F255" s="247" t="s">
        <v>54</v>
      </c>
      <c r="G255" s="229" t="s">
        <v>1237</v>
      </c>
      <c r="H255" s="247" t="s">
        <v>1244</v>
      </c>
      <c r="I255" s="247" t="s">
        <v>72</v>
      </c>
      <c r="J255" s="248">
        <v>1172639</v>
      </c>
      <c r="K255" s="248"/>
      <c r="L255" s="248">
        <f t="shared" si="15"/>
        <v>1172639</v>
      </c>
      <c r="M255" s="249"/>
      <c r="N255" s="249"/>
      <c r="O255" s="249"/>
      <c r="P255" s="249"/>
      <c r="Q255" s="249"/>
      <c r="R255" s="249"/>
      <c r="S255" s="249"/>
      <c r="T255" s="249"/>
      <c r="U255" s="249"/>
      <c r="V255" s="249"/>
      <c r="W255" s="249"/>
      <c r="X255" s="249"/>
      <c r="Y255" s="249">
        <f t="shared" si="16"/>
        <v>0</v>
      </c>
      <c r="Z255" s="249">
        <v>2</v>
      </c>
      <c r="AA255" s="249" t="s">
        <v>1336</v>
      </c>
      <c r="AB255" s="250">
        <v>44306</v>
      </c>
      <c r="AC255" s="249"/>
      <c r="AD255" s="249"/>
      <c r="AE255" s="249"/>
      <c r="AF255" s="250"/>
      <c r="AG255" s="250"/>
      <c r="AH255" s="249"/>
      <c r="AI255" s="249"/>
      <c r="AJ255" s="250"/>
      <c r="AK255" s="249"/>
      <c r="AL255" s="249"/>
      <c r="AM255" s="249"/>
      <c r="AN255" s="249"/>
      <c r="AO255" s="249"/>
      <c r="AP255" s="249"/>
      <c r="AQ255" s="249"/>
      <c r="AR255" s="249"/>
      <c r="AS255" s="249"/>
      <c r="AT255" s="249">
        <v>2</v>
      </c>
      <c r="AU255" s="249">
        <f t="shared" si="17"/>
        <v>2</v>
      </c>
      <c r="AV255" s="269">
        <f t="shared" si="18"/>
        <v>2</v>
      </c>
      <c r="AW255" s="269">
        <f t="shared" si="19"/>
        <v>0</v>
      </c>
    </row>
    <row r="256" spans="2:49" s="140" customFormat="1" ht="22.5" x14ac:dyDescent="0.25">
      <c r="B256" s="227">
        <v>241</v>
      </c>
      <c r="C256" s="227" t="s">
        <v>39</v>
      </c>
      <c r="D256" s="28">
        <v>40021193</v>
      </c>
      <c r="E256" s="247" t="s">
        <v>1534</v>
      </c>
      <c r="F256" s="247" t="s">
        <v>54</v>
      </c>
      <c r="G256" s="229" t="s">
        <v>1237</v>
      </c>
      <c r="H256" s="247" t="s">
        <v>1315</v>
      </c>
      <c r="I256" s="247" t="s">
        <v>72</v>
      </c>
      <c r="J256" s="248">
        <v>685294</v>
      </c>
      <c r="K256" s="248"/>
      <c r="L256" s="248">
        <f t="shared" si="15"/>
        <v>685294</v>
      </c>
      <c r="M256" s="249"/>
      <c r="N256" s="249"/>
      <c r="O256" s="249"/>
      <c r="P256" s="249"/>
      <c r="Q256" s="249"/>
      <c r="R256" s="249"/>
      <c r="S256" s="249"/>
      <c r="T256" s="249"/>
      <c r="U256" s="249"/>
      <c r="V256" s="249"/>
      <c r="W256" s="249"/>
      <c r="X256" s="249"/>
      <c r="Y256" s="249">
        <f t="shared" si="16"/>
        <v>0</v>
      </c>
      <c r="Z256" s="249">
        <v>3</v>
      </c>
      <c r="AA256" s="249" t="s">
        <v>1336</v>
      </c>
      <c r="AB256" s="250">
        <v>44306</v>
      </c>
      <c r="AC256" s="249"/>
      <c r="AD256" s="249"/>
      <c r="AE256" s="249"/>
      <c r="AF256" s="250"/>
      <c r="AG256" s="250"/>
      <c r="AH256" s="249"/>
      <c r="AI256" s="249"/>
      <c r="AJ256" s="250"/>
      <c r="AK256" s="249"/>
      <c r="AL256" s="249"/>
      <c r="AM256" s="249"/>
      <c r="AN256" s="249"/>
      <c r="AO256" s="249"/>
      <c r="AP256" s="249"/>
      <c r="AQ256" s="249"/>
      <c r="AR256" s="249"/>
      <c r="AS256" s="249"/>
      <c r="AT256" s="249">
        <v>3</v>
      </c>
      <c r="AU256" s="249">
        <f t="shared" si="17"/>
        <v>3</v>
      </c>
      <c r="AV256" s="269">
        <f t="shared" si="18"/>
        <v>3</v>
      </c>
      <c r="AW256" s="269">
        <f t="shared" si="19"/>
        <v>0</v>
      </c>
    </row>
    <row r="257" spans="2:49" s="140" customFormat="1" x14ac:dyDescent="0.25">
      <c r="B257" s="227">
        <v>242</v>
      </c>
      <c r="C257" s="227" t="s">
        <v>39</v>
      </c>
      <c r="D257" s="28">
        <v>40025047</v>
      </c>
      <c r="E257" s="247" t="s">
        <v>1535</v>
      </c>
      <c r="F257" s="247" t="s">
        <v>1256</v>
      </c>
      <c r="G257" s="229" t="s">
        <v>1237</v>
      </c>
      <c r="H257" s="247" t="s">
        <v>1244</v>
      </c>
      <c r="I257" s="247" t="s">
        <v>72</v>
      </c>
      <c r="J257" s="248">
        <v>21964</v>
      </c>
      <c r="K257" s="248"/>
      <c r="L257" s="248">
        <f t="shared" si="15"/>
        <v>21964</v>
      </c>
      <c r="M257" s="249"/>
      <c r="N257" s="249"/>
      <c r="O257" s="249"/>
      <c r="P257" s="249"/>
      <c r="Q257" s="249"/>
      <c r="R257" s="249"/>
      <c r="S257" s="249"/>
      <c r="T257" s="249"/>
      <c r="U257" s="249"/>
      <c r="V257" s="249"/>
      <c r="W257" s="249"/>
      <c r="X257" s="249"/>
      <c r="Y257" s="249">
        <f t="shared" si="16"/>
        <v>0</v>
      </c>
      <c r="Z257" s="249">
        <v>1</v>
      </c>
      <c r="AA257" s="249" t="s">
        <v>1336</v>
      </c>
      <c r="AB257" s="250">
        <v>44306</v>
      </c>
      <c r="AC257" s="249"/>
      <c r="AD257" s="249"/>
      <c r="AE257" s="249"/>
      <c r="AF257" s="250"/>
      <c r="AG257" s="250"/>
      <c r="AH257" s="249"/>
      <c r="AI257" s="249"/>
      <c r="AJ257" s="250"/>
      <c r="AK257" s="249"/>
      <c r="AL257" s="249"/>
      <c r="AM257" s="249"/>
      <c r="AN257" s="249"/>
      <c r="AO257" s="249"/>
      <c r="AP257" s="249"/>
      <c r="AQ257" s="249"/>
      <c r="AR257" s="249"/>
      <c r="AS257" s="249"/>
      <c r="AT257" s="249">
        <v>1</v>
      </c>
      <c r="AU257" s="249">
        <f t="shared" si="17"/>
        <v>1</v>
      </c>
      <c r="AV257" s="269">
        <f t="shared" si="18"/>
        <v>1</v>
      </c>
      <c r="AW257" s="269">
        <f t="shared" si="19"/>
        <v>0</v>
      </c>
    </row>
    <row r="258" spans="2:49" s="140" customFormat="1" ht="22.5" x14ac:dyDescent="0.25">
      <c r="B258" s="227">
        <v>243</v>
      </c>
      <c r="C258" s="227" t="s">
        <v>39</v>
      </c>
      <c r="D258" s="28">
        <v>30121859</v>
      </c>
      <c r="E258" s="247" t="s">
        <v>1536</v>
      </c>
      <c r="F258" s="247" t="s">
        <v>54</v>
      </c>
      <c r="G258" s="229" t="s">
        <v>1237</v>
      </c>
      <c r="H258" s="247" t="s">
        <v>1331</v>
      </c>
      <c r="I258" s="247" t="s">
        <v>72</v>
      </c>
      <c r="J258" s="248">
        <v>1359597</v>
      </c>
      <c r="K258" s="248"/>
      <c r="L258" s="248">
        <f t="shared" si="15"/>
        <v>1359597</v>
      </c>
      <c r="M258" s="249"/>
      <c r="N258" s="249"/>
      <c r="O258" s="249"/>
      <c r="P258" s="249"/>
      <c r="Q258" s="249"/>
      <c r="R258" s="249"/>
      <c r="S258" s="249"/>
      <c r="T258" s="249"/>
      <c r="U258" s="249"/>
      <c r="V258" s="249"/>
      <c r="W258" s="249"/>
      <c r="X258" s="249"/>
      <c r="Y258" s="249">
        <f t="shared" si="16"/>
        <v>0</v>
      </c>
      <c r="Z258" s="249">
        <v>2</v>
      </c>
      <c r="AA258" s="249" t="s">
        <v>1336</v>
      </c>
      <c r="AB258" s="250">
        <v>44306</v>
      </c>
      <c r="AC258" s="249"/>
      <c r="AD258" s="249"/>
      <c r="AE258" s="249"/>
      <c r="AF258" s="250"/>
      <c r="AG258" s="250"/>
      <c r="AH258" s="249"/>
      <c r="AI258" s="249"/>
      <c r="AJ258" s="250"/>
      <c r="AK258" s="249"/>
      <c r="AL258" s="249"/>
      <c r="AM258" s="249"/>
      <c r="AN258" s="249"/>
      <c r="AO258" s="249"/>
      <c r="AP258" s="249"/>
      <c r="AQ258" s="249"/>
      <c r="AR258" s="249"/>
      <c r="AS258" s="249"/>
      <c r="AT258" s="249">
        <v>2</v>
      </c>
      <c r="AU258" s="249">
        <f t="shared" si="17"/>
        <v>2</v>
      </c>
      <c r="AV258" s="269">
        <f t="shared" si="18"/>
        <v>2</v>
      </c>
      <c r="AW258" s="269">
        <f t="shared" si="19"/>
        <v>0</v>
      </c>
    </row>
    <row r="259" spans="2:49" s="140" customFormat="1" x14ac:dyDescent="0.25">
      <c r="B259" s="227">
        <v>244</v>
      </c>
      <c r="C259" s="227" t="s">
        <v>39</v>
      </c>
      <c r="D259" s="28">
        <v>30403874</v>
      </c>
      <c r="E259" s="247" t="s">
        <v>1537</v>
      </c>
      <c r="F259" s="247" t="s">
        <v>1256</v>
      </c>
      <c r="G259" s="229" t="s">
        <v>1237</v>
      </c>
      <c r="H259" s="247" t="s">
        <v>1300</v>
      </c>
      <c r="I259" s="247" t="s">
        <v>72</v>
      </c>
      <c r="J259" s="248">
        <v>92261</v>
      </c>
      <c r="K259" s="248"/>
      <c r="L259" s="248">
        <f t="shared" si="15"/>
        <v>92261</v>
      </c>
      <c r="M259" s="249"/>
      <c r="N259" s="249"/>
      <c r="O259" s="249"/>
      <c r="P259" s="249"/>
      <c r="Q259" s="249"/>
      <c r="R259" s="249"/>
      <c r="S259" s="249"/>
      <c r="T259" s="249"/>
      <c r="U259" s="249"/>
      <c r="V259" s="249"/>
      <c r="W259" s="249"/>
      <c r="X259" s="249"/>
      <c r="Y259" s="249">
        <f t="shared" si="16"/>
        <v>0</v>
      </c>
      <c r="Z259" s="249">
        <v>1</v>
      </c>
      <c r="AA259" s="249" t="s">
        <v>1336</v>
      </c>
      <c r="AB259" s="250">
        <v>44306</v>
      </c>
      <c r="AC259" s="249"/>
      <c r="AD259" s="249"/>
      <c r="AE259" s="249"/>
      <c r="AF259" s="250"/>
      <c r="AG259" s="250"/>
      <c r="AH259" s="249"/>
      <c r="AI259" s="249"/>
      <c r="AJ259" s="250"/>
      <c r="AK259" s="249"/>
      <c r="AL259" s="249"/>
      <c r="AM259" s="249"/>
      <c r="AN259" s="249"/>
      <c r="AO259" s="249"/>
      <c r="AP259" s="249"/>
      <c r="AQ259" s="249"/>
      <c r="AR259" s="249"/>
      <c r="AS259" s="249"/>
      <c r="AT259" s="249">
        <v>1</v>
      </c>
      <c r="AU259" s="249">
        <f t="shared" si="17"/>
        <v>1</v>
      </c>
      <c r="AV259" s="269">
        <f t="shared" si="18"/>
        <v>1</v>
      </c>
      <c r="AW259" s="269">
        <f t="shared" si="19"/>
        <v>0</v>
      </c>
    </row>
    <row r="260" spans="2:49" s="140" customFormat="1" ht="22.5" x14ac:dyDescent="0.25">
      <c r="B260" s="227">
        <v>245</v>
      </c>
      <c r="C260" s="227" t="s">
        <v>39</v>
      </c>
      <c r="D260" s="28">
        <v>30482607</v>
      </c>
      <c r="E260" s="247" t="s">
        <v>1538</v>
      </c>
      <c r="F260" s="247" t="s">
        <v>54</v>
      </c>
      <c r="G260" s="229" t="s">
        <v>1237</v>
      </c>
      <c r="H260" s="247" t="s">
        <v>1260</v>
      </c>
      <c r="I260" s="247" t="s">
        <v>72</v>
      </c>
      <c r="J260" s="248">
        <v>120316</v>
      </c>
      <c r="K260" s="248"/>
      <c r="L260" s="248">
        <f t="shared" si="15"/>
        <v>120316</v>
      </c>
      <c r="M260" s="249"/>
      <c r="N260" s="249"/>
      <c r="O260" s="249"/>
      <c r="P260" s="249"/>
      <c r="Q260" s="249"/>
      <c r="R260" s="249"/>
      <c r="S260" s="249"/>
      <c r="T260" s="249"/>
      <c r="U260" s="249"/>
      <c r="V260" s="249"/>
      <c r="W260" s="249"/>
      <c r="X260" s="249"/>
      <c r="Y260" s="249">
        <f t="shared" si="16"/>
        <v>0</v>
      </c>
      <c r="Z260" s="249">
        <v>3</v>
      </c>
      <c r="AA260" s="249" t="s">
        <v>1336</v>
      </c>
      <c r="AB260" s="250">
        <v>44306</v>
      </c>
      <c r="AC260" s="249"/>
      <c r="AD260" s="249"/>
      <c r="AE260" s="249"/>
      <c r="AF260" s="250"/>
      <c r="AG260" s="250"/>
      <c r="AH260" s="249"/>
      <c r="AI260" s="249"/>
      <c r="AJ260" s="250"/>
      <c r="AK260" s="249"/>
      <c r="AL260" s="249"/>
      <c r="AM260" s="249"/>
      <c r="AN260" s="249"/>
      <c r="AO260" s="249"/>
      <c r="AP260" s="249"/>
      <c r="AQ260" s="249"/>
      <c r="AR260" s="249"/>
      <c r="AS260" s="249"/>
      <c r="AT260" s="249">
        <v>3</v>
      </c>
      <c r="AU260" s="249">
        <f t="shared" si="17"/>
        <v>3</v>
      </c>
      <c r="AV260" s="269">
        <f t="shared" si="18"/>
        <v>3</v>
      </c>
      <c r="AW260" s="269">
        <f t="shared" si="19"/>
        <v>0</v>
      </c>
    </row>
    <row r="261" spans="2:49" s="140" customFormat="1" ht="22.5" x14ac:dyDescent="0.25">
      <c r="B261" s="227">
        <v>246</v>
      </c>
      <c r="C261" s="227" t="s">
        <v>39</v>
      </c>
      <c r="D261" s="28">
        <v>30483094</v>
      </c>
      <c r="E261" s="247" t="s">
        <v>1539</v>
      </c>
      <c r="F261" s="247" t="s">
        <v>54</v>
      </c>
      <c r="G261" s="229" t="s">
        <v>1237</v>
      </c>
      <c r="H261" s="247" t="s">
        <v>1260</v>
      </c>
      <c r="I261" s="247" t="s">
        <v>72</v>
      </c>
      <c r="J261" s="248">
        <v>128231</v>
      </c>
      <c r="K261" s="248"/>
      <c r="L261" s="248">
        <f t="shared" si="15"/>
        <v>128231</v>
      </c>
      <c r="M261" s="249"/>
      <c r="N261" s="249"/>
      <c r="O261" s="249"/>
      <c r="P261" s="249"/>
      <c r="Q261" s="249"/>
      <c r="R261" s="249"/>
      <c r="S261" s="249"/>
      <c r="T261" s="249"/>
      <c r="U261" s="249"/>
      <c r="V261" s="249"/>
      <c r="W261" s="249"/>
      <c r="X261" s="249"/>
      <c r="Y261" s="249">
        <f t="shared" si="16"/>
        <v>0</v>
      </c>
      <c r="Z261" s="249">
        <v>3</v>
      </c>
      <c r="AA261" s="249" t="s">
        <v>1336</v>
      </c>
      <c r="AB261" s="250">
        <v>44306</v>
      </c>
      <c r="AC261" s="249"/>
      <c r="AD261" s="249"/>
      <c r="AE261" s="249"/>
      <c r="AF261" s="250"/>
      <c r="AG261" s="250"/>
      <c r="AH261" s="249"/>
      <c r="AI261" s="249"/>
      <c r="AJ261" s="250"/>
      <c r="AK261" s="249"/>
      <c r="AL261" s="249"/>
      <c r="AM261" s="249"/>
      <c r="AN261" s="249"/>
      <c r="AO261" s="249"/>
      <c r="AP261" s="249"/>
      <c r="AQ261" s="249"/>
      <c r="AR261" s="249"/>
      <c r="AS261" s="249"/>
      <c r="AT261" s="249">
        <v>3</v>
      </c>
      <c r="AU261" s="249">
        <f t="shared" si="17"/>
        <v>3</v>
      </c>
      <c r="AV261" s="269">
        <f t="shared" si="18"/>
        <v>3</v>
      </c>
      <c r="AW261" s="269">
        <f t="shared" si="19"/>
        <v>0</v>
      </c>
    </row>
    <row r="262" spans="2:49" s="140" customFormat="1" ht="22.5" x14ac:dyDescent="0.25">
      <c r="B262" s="227">
        <v>247</v>
      </c>
      <c r="C262" s="227" t="s">
        <v>39</v>
      </c>
      <c r="D262" s="28">
        <v>40001069</v>
      </c>
      <c r="E262" s="247" t="s">
        <v>1540</v>
      </c>
      <c r="F262" s="247" t="s">
        <v>54</v>
      </c>
      <c r="G262" s="229" t="s">
        <v>1237</v>
      </c>
      <c r="H262" s="247" t="s">
        <v>1262</v>
      </c>
      <c r="I262" s="247" t="s">
        <v>72</v>
      </c>
      <c r="J262" s="248">
        <v>988374</v>
      </c>
      <c r="K262" s="248"/>
      <c r="L262" s="248">
        <f t="shared" si="15"/>
        <v>988374</v>
      </c>
      <c r="M262" s="249"/>
      <c r="N262" s="249"/>
      <c r="O262" s="249"/>
      <c r="P262" s="249"/>
      <c r="Q262" s="249"/>
      <c r="R262" s="249"/>
      <c r="S262" s="249"/>
      <c r="T262" s="249"/>
      <c r="U262" s="249"/>
      <c r="V262" s="249"/>
      <c r="W262" s="249"/>
      <c r="X262" s="249"/>
      <c r="Y262" s="249">
        <f t="shared" si="16"/>
        <v>0</v>
      </c>
      <c r="Z262" s="249">
        <v>3</v>
      </c>
      <c r="AA262" s="249" t="s">
        <v>1336</v>
      </c>
      <c r="AB262" s="250">
        <v>44306</v>
      </c>
      <c r="AC262" s="249"/>
      <c r="AD262" s="249"/>
      <c r="AE262" s="249"/>
      <c r="AF262" s="250"/>
      <c r="AG262" s="250"/>
      <c r="AH262" s="249"/>
      <c r="AI262" s="249"/>
      <c r="AJ262" s="250"/>
      <c r="AK262" s="249"/>
      <c r="AL262" s="249"/>
      <c r="AM262" s="249"/>
      <c r="AN262" s="249"/>
      <c r="AO262" s="249"/>
      <c r="AP262" s="249"/>
      <c r="AQ262" s="249"/>
      <c r="AR262" s="249"/>
      <c r="AS262" s="249"/>
      <c r="AT262" s="249">
        <v>3</v>
      </c>
      <c r="AU262" s="249">
        <f t="shared" si="17"/>
        <v>3</v>
      </c>
      <c r="AV262" s="269">
        <f t="shared" si="18"/>
        <v>3</v>
      </c>
      <c r="AW262" s="269">
        <f t="shared" si="19"/>
        <v>0</v>
      </c>
    </row>
    <row r="263" spans="2:49" s="140" customFormat="1" x14ac:dyDescent="0.25">
      <c r="B263" s="227">
        <v>248</v>
      </c>
      <c r="C263" s="227" t="s">
        <v>39</v>
      </c>
      <c r="D263" s="28">
        <v>40001870</v>
      </c>
      <c r="E263" s="247" t="s">
        <v>1541</v>
      </c>
      <c r="F263" s="247" t="s">
        <v>54</v>
      </c>
      <c r="G263" s="229" t="s">
        <v>1237</v>
      </c>
      <c r="H263" s="247" t="s">
        <v>1370</v>
      </c>
      <c r="I263" s="247" t="s">
        <v>72</v>
      </c>
      <c r="J263" s="248">
        <v>1130555</v>
      </c>
      <c r="K263" s="248"/>
      <c r="L263" s="248">
        <f t="shared" si="15"/>
        <v>1130555</v>
      </c>
      <c r="M263" s="249"/>
      <c r="N263" s="249"/>
      <c r="O263" s="249"/>
      <c r="P263" s="249"/>
      <c r="Q263" s="249"/>
      <c r="R263" s="249"/>
      <c r="S263" s="249"/>
      <c r="T263" s="249"/>
      <c r="U263" s="249"/>
      <c r="V263" s="249"/>
      <c r="W263" s="249"/>
      <c r="X263" s="249"/>
      <c r="Y263" s="249">
        <f t="shared" si="16"/>
        <v>0</v>
      </c>
      <c r="Z263" s="249">
        <v>2</v>
      </c>
      <c r="AA263" s="249" t="s">
        <v>1336</v>
      </c>
      <c r="AB263" s="250">
        <v>44306</v>
      </c>
      <c r="AC263" s="249"/>
      <c r="AD263" s="249"/>
      <c r="AE263" s="249"/>
      <c r="AF263" s="250"/>
      <c r="AG263" s="250"/>
      <c r="AH263" s="249"/>
      <c r="AI263" s="249"/>
      <c r="AJ263" s="250"/>
      <c r="AK263" s="249"/>
      <c r="AL263" s="249"/>
      <c r="AM263" s="249"/>
      <c r="AN263" s="249"/>
      <c r="AO263" s="249"/>
      <c r="AP263" s="249"/>
      <c r="AQ263" s="249"/>
      <c r="AR263" s="249"/>
      <c r="AS263" s="249"/>
      <c r="AT263" s="249">
        <v>2</v>
      </c>
      <c r="AU263" s="249">
        <f t="shared" si="17"/>
        <v>2</v>
      </c>
      <c r="AV263" s="269">
        <f t="shared" si="18"/>
        <v>2</v>
      </c>
      <c r="AW263" s="269">
        <f t="shared" si="19"/>
        <v>0</v>
      </c>
    </row>
    <row r="264" spans="2:49" s="140" customFormat="1" ht="22.5" x14ac:dyDescent="0.25">
      <c r="B264" s="227">
        <v>249</v>
      </c>
      <c r="C264" s="227" t="s">
        <v>39</v>
      </c>
      <c r="D264" s="28">
        <v>40002915</v>
      </c>
      <c r="E264" s="247" t="s">
        <v>1542</v>
      </c>
      <c r="F264" s="247" t="s">
        <v>54</v>
      </c>
      <c r="G264" s="229" t="s">
        <v>1237</v>
      </c>
      <c r="H264" s="247" t="s">
        <v>1249</v>
      </c>
      <c r="I264" s="247" t="s">
        <v>72</v>
      </c>
      <c r="J264" s="248">
        <v>414519</v>
      </c>
      <c r="K264" s="248"/>
      <c r="L264" s="248">
        <f t="shared" si="15"/>
        <v>414519</v>
      </c>
      <c r="M264" s="249"/>
      <c r="N264" s="249"/>
      <c r="O264" s="249"/>
      <c r="P264" s="249"/>
      <c r="Q264" s="249"/>
      <c r="R264" s="249"/>
      <c r="S264" s="249"/>
      <c r="T264" s="249"/>
      <c r="U264" s="249"/>
      <c r="V264" s="249"/>
      <c r="W264" s="249"/>
      <c r="X264" s="249"/>
      <c r="Y264" s="249">
        <f t="shared" si="16"/>
        <v>0</v>
      </c>
      <c r="Z264" s="249">
        <v>4</v>
      </c>
      <c r="AA264" s="249" t="s">
        <v>1336</v>
      </c>
      <c r="AB264" s="250">
        <v>44306</v>
      </c>
      <c r="AC264" s="249"/>
      <c r="AD264" s="249"/>
      <c r="AE264" s="249"/>
      <c r="AF264" s="250"/>
      <c r="AG264" s="250"/>
      <c r="AH264" s="249"/>
      <c r="AI264" s="249"/>
      <c r="AJ264" s="250"/>
      <c r="AK264" s="249"/>
      <c r="AL264" s="249"/>
      <c r="AM264" s="249"/>
      <c r="AN264" s="249"/>
      <c r="AO264" s="249"/>
      <c r="AP264" s="249"/>
      <c r="AQ264" s="249"/>
      <c r="AR264" s="249"/>
      <c r="AS264" s="249"/>
      <c r="AT264" s="249">
        <v>4</v>
      </c>
      <c r="AU264" s="249">
        <f t="shared" si="17"/>
        <v>4</v>
      </c>
      <c r="AV264" s="269">
        <f t="shared" si="18"/>
        <v>4</v>
      </c>
      <c r="AW264" s="269">
        <f t="shared" si="19"/>
        <v>0</v>
      </c>
    </row>
    <row r="265" spans="2:49" s="140" customFormat="1" x14ac:dyDescent="0.25">
      <c r="B265" s="227">
        <v>250</v>
      </c>
      <c r="C265" s="227" t="s">
        <v>39</v>
      </c>
      <c r="D265" s="28">
        <v>40003441</v>
      </c>
      <c r="E265" s="247" t="s">
        <v>1543</v>
      </c>
      <c r="F265" s="247" t="s">
        <v>54</v>
      </c>
      <c r="G265" s="229" t="s">
        <v>1237</v>
      </c>
      <c r="H265" s="247" t="s">
        <v>1260</v>
      </c>
      <c r="I265" s="247" t="s">
        <v>72</v>
      </c>
      <c r="J265" s="248">
        <v>1261358</v>
      </c>
      <c r="K265" s="248"/>
      <c r="L265" s="248">
        <f t="shared" si="15"/>
        <v>1261358</v>
      </c>
      <c r="M265" s="249"/>
      <c r="N265" s="249"/>
      <c r="O265" s="249"/>
      <c r="P265" s="249"/>
      <c r="Q265" s="249"/>
      <c r="R265" s="249"/>
      <c r="S265" s="249"/>
      <c r="T265" s="249"/>
      <c r="U265" s="249"/>
      <c r="V265" s="249"/>
      <c r="W265" s="249"/>
      <c r="X265" s="249"/>
      <c r="Y265" s="249">
        <f t="shared" si="16"/>
        <v>0</v>
      </c>
      <c r="Z265" s="249">
        <v>3</v>
      </c>
      <c r="AA265" s="249" t="s">
        <v>1336</v>
      </c>
      <c r="AB265" s="250">
        <v>44306</v>
      </c>
      <c r="AC265" s="249"/>
      <c r="AD265" s="249"/>
      <c r="AE265" s="249"/>
      <c r="AF265" s="250"/>
      <c r="AG265" s="250"/>
      <c r="AH265" s="249"/>
      <c r="AI265" s="249"/>
      <c r="AJ265" s="250"/>
      <c r="AK265" s="249"/>
      <c r="AL265" s="249"/>
      <c r="AM265" s="249"/>
      <c r="AN265" s="249"/>
      <c r="AO265" s="249"/>
      <c r="AP265" s="249"/>
      <c r="AQ265" s="249"/>
      <c r="AR265" s="249"/>
      <c r="AS265" s="249"/>
      <c r="AT265" s="249">
        <v>3</v>
      </c>
      <c r="AU265" s="249">
        <f t="shared" si="17"/>
        <v>3</v>
      </c>
      <c r="AV265" s="269">
        <f t="shared" si="18"/>
        <v>3</v>
      </c>
      <c r="AW265" s="269">
        <f t="shared" si="19"/>
        <v>0</v>
      </c>
    </row>
    <row r="266" spans="2:49" s="140" customFormat="1" ht="22.5" x14ac:dyDescent="0.25">
      <c r="B266" s="227">
        <v>251</v>
      </c>
      <c r="C266" s="227" t="s">
        <v>39</v>
      </c>
      <c r="D266" s="28">
        <v>40004657</v>
      </c>
      <c r="E266" s="247" t="s">
        <v>1544</v>
      </c>
      <c r="F266" s="247" t="s">
        <v>1256</v>
      </c>
      <c r="G266" s="229" t="s">
        <v>1237</v>
      </c>
      <c r="H266" s="247" t="s">
        <v>1237</v>
      </c>
      <c r="I266" s="247" t="s">
        <v>72</v>
      </c>
      <c r="J266" s="248">
        <v>33279</v>
      </c>
      <c r="K266" s="248"/>
      <c r="L266" s="248">
        <f t="shared" si="15"/>
        <v>33279</v>
      </c>
      <c r="M266" s="249"/>
      <c r="N266" s="249"/>
      <c r="O266" s="249"/>
      <c r="P266" s="249"/>
      <c r="Q266" s="249"/>
      <c r="R266" s="249"/>
      <c r="S266" s="249"/>
      <c r="T266" s="249"/>
      <c r="U266" s="249"/>
      <c r="V266" s="249"/>
      <c r="W266" s="249"/>
      <c r="X266" s="249"/>
      <c r="Y266" s="249">
        <f t="shared" si="16"/>
        <v>0</v>
      </c>
      <c r="Z266" s="249">
        <v>2</v>
      </c>
      <c r="AA266" s="249" t="s">
        <v>1336</v>
      </c>
      <c r="AB266" s="250">
        <v>44306</v>
      </c>
      <c r="AC266" s="249"/>
      <c r="AD266" s="249"/>
      <c r="AE266" s="249"/>
      <c r="AF266" s="250"/>
      <c r="AG266" s="250"/>
      <c r="AH266" s="249"/>
      <c r="AI266" s="249"/>
      <c r="AJ266" s="250"/>
      <c r="AK266" s="249"/>
      <c r="AL266" s="249"/>
      <c r="AM266" s="249"/>
      <c r="AN266" s="249"/>
      <c r="AO266" s="249"/>
      <c r="AP266" s="249"/>
      <c r="AQ266" s="249"/>
      <c r="AR266" s="249"/>
      <c r="AS266" s="249"/>
      <c r="AT266" s="249">
        <v>2</v>
      </c>
      <c r="AU266" s="249">
        <f t="shared" si="17"/>
        <v>2</v>
      </c>
      <c r="AV266" s="269">
        <f t="shared" si="18"/>
        <v>2</v>
      </c>
      <c r="AW266" s="269">
        <f t="shared" si="19"/>
        <v>0</v>
      </c>
    </row>
    <row r="267" spans="2:49" s="140" customFormat="1" ht="22.5" x14ac:dyDescent="0.25">
      <c r="B267" s="227">
        <v>252</v>
      </c>
      <c r="C267" s="227" t="s">
        <v>39</v>
      </c>
      <c r="D267" s="28">
        <v>40009482</v>
      </c>
      <c r="E267" s="247" t="s">
        <v>1545</v>
      </c>
      <c r="F267" s="247" t="s">
        <v>54</v>
      </c>
      <c r="G267" s="229" t="s">
        <v>1237</v>
      </c>
      <c r="H267" s="247" t="s">
        <v>1317</v>
      </c>
      <c r="I267" s="247" t="s">
        <v>72</v>
      </c>
      <c r="J267" s="248">
        <v>1554235</v>
      </c>
      <c r="K267" s="248"/>
      <c r="L267" s="248">
        <f t="shared" si="15"/>
        <v>1554235</v>
      </c>
      <c r="M267" s="249"/>
      <c r="N267" s="249"/>
      <c r="O267" s="249"/>
      <c r="P267" s="249"/>
      <c r="Q267" s="249"/>
      <c r="R267" s="249"/>
      <c r="S267" s="249"/>
      <c r="T267" s="249"/>
      <c r="U267" s="249"/>
      <c r="V267" s="249"/>
      <c r="W267" s="249"/>
      <c r="X267" s="249"/>
      <c r="Y267" s="249">
        <f t="shared" si="16"/>
        <v>0</v>
      </c>
      <c r="Z267" s="249">
        <v>3</v>
      </c>
      <c r="AA267" s="249" t="s">
        <v>1336</v>
      </c>
      <c r="AB267" s="250">
        <v>44306</v>
      </c>
      <c r="AC267" s="249"/>
      <c r="AD267" s="249"/>
      <c r="AE267" s="249"/>
      <c r="AF267" s="250"/>
      <c r="AG267" s="250"/>
      <c r="AH267" s="249"/>
      <c r="AI267" s="249"/>
      <c r="AJ267" s="250"/>
      <c r="AK267" s="249"/>
      <c r="AL267" s="249"/>
      <c r="AM267" s="249"/>
      <c r="AN267" s="249"/>
      <c r="AO267" s="249"/>
      <c r="AP267" s="249"/>
      <c r="AQ267" s="249"/>
      <c r="AR267" s="249"/>
      <c r="AS267" s="249"/>
      <c r="AT267" s="249">
        <v>3</v>
      </c>
      <c r="AU267" s="249">
        <f t="shared" si="17"/>
        <v>3</v>
      </c>
      <c r="AV267" s="269">
        <f t="shared" si="18"/>
        <v>3</v>
      </c>
      <c r="AW267" s="269">
        <f t="shared" si="19"/>
        <v>0</v>
      </c>
    </row>
    <row r="268" spans="2:49" s="140" customFormat="1" ht="22.5" x14ac:dyDescent="0.25">
      <c r="B268" s="227">
        <v>253</v>
      </c>
      <c r="C268" s="227" t="s">
        <v>39</v>
      </c>
      <c r="D268" s="28">
        <v>40009866</v>
      </c>
      <c r="E268" s="247" t="s">
        <v>1546</v>
      </c>
      <c r="F268" s="247" t="s">
        <v>54</v>
      </c>
      <c r="G268" s="229" t="s">
        <v>1237</v>
      </c>
      <c r="H268" s="247" t="s">
        <v>1547</v>
      </c>
      <c r="I268" s="247" t="s">
        <v>72</v>
      </c>
      <c r="J268" s="248">
        <v>2931712</v>
      </c>
      <c r="K268" s="248"/>
      <c r="L268" s="248">
        <f t="shared" si="15"/>
        <v>2931712</v>
      </c>
      <c r="M268" s="249"/>
      <c r="N268" s="249"/>
      <c r="O268" s="249"/>
      <c r="P268" s="249"/>
      <c r="Q268" s="249"/>
      <c r="R268" s="249"/>
      <c r="S268" s="249"/>
      <c r="T268" s="249"/>
      <c r="U268" s="249"/>
      <c r="V268" s="249"/>
      <c r="W268" s="249"/>
      <c r="X268" s="249"/>
      <c r="Y268" s="249">
        <f t="shared" si="16"/>
        <v>0</v>
      </c>
      <c r="Z268" s="249">
        <v>4</v>
      </c>
      <c r="AA268" s="249" t="s">
        <v>1336</v>
      </c>
      <c r="AB268" s="250">
        <v>44306</v>
      </c>
      <c r="AC268" s="249"/>
      <c r="AD268" s="249"/>
      <c r="AE268" s="249"/>
      <c r="AF268" s="250"/>
      <c r="AG268" s="250"/>
      <c r="AH268" s="249"/>
      <c r="AI268" s="249"/>
      <c r="AJ268" s="250"/>
      <c r="AK268" s="249"/>
      <c r="AL268" s="249"/>
      <c r="AM268" s="249"/>
      <c r="AN268" s="249"/>
      <c r="AO268" s="249"/>
      <c r="AP268" s="249"/>
      <c r="AQ268" s="249"/>
      <c r="AR268" s="249"/>
      <c r="AS268" s="249"/>
      <c r="AT268" s="249">
        <v>4</v>
      </c>
      <c r="AU268" s="249">
        <f t="shared" si="17"/>
        <v>4</v>
      </c>
      <c r="AV268" s="269">
        <f t="shared" si="18"/>
        <v>4</v>
      </c>
      <c r="AW268" s="269">
        <f t="shared" si="19"/>
        <v>0</v>
      </c>
    </row>
    <row r="269" spans="2:49" s="140" customFormat="1" ht="22.5" x14ac:dyDescent="0.25">
      <c r="B269" s="227">
        <v>254</v>
      </c>
      <c r="C269" s="227" t="s">
        <v>39</v>
      </c>
      <c r="D269" s="28">
        <v>40012279</v>
      </c>
      <c r="E269" s="247" t="s">
        <v>1548</v>
      </c>
      <c r="F269" s="247" t="s">
        <v>54</v>
      </c>
      <c r="G269" s="229" t="s">
        <v>1237</v>
      </c>
      <c r="H269" s="247" t="s">
        <v>1242</v>
      </c>
      <c r="I269" s="247" t="s">
        <v>72</v>
      </c>
      <c r="J269" s="248">
        <v>559251</v>
      </c>
      <c r="K269" s="248"/>
      <c r="L269" s="248">
        <f t="shared" si="15"/>
        <v>559251</v>
      </c>
      <c r="M269" s="249"/>
      <c r="N269" s="249"/>
      <c r="O269" s="249"/>
      <c r="P269" s="249"/>
      <c r="Q269" s="249"/>
      <c r="R269" s="249"/>
      <c r="S269" s="249"/>
      <c r="T269" s="249"/>
      <c r="U269" s="249"/>
      <c r="V269" s="249"/>
      <c r="W269" s="249"/>
      <c r="X269" s="249"/>
      <c r="Y269" s="249">
        <f t="shared" si="16"/>
        <v>0</v>
      </c>
      <c r="Z269" s="249">
        <v>3</v>
      </c>
      <c r="AA269" s="249" t="s">
        <v>1336</v>
      </c>
      <c r="AB269" s="250">
        <v>44306</v>
      </c>
      <c r="AC269" s="249"/>
      <c r="AD269" s="249"/>
      <c r="AE269" s="249"/>
      <c r="AF269" s="250"/>
      <c r="AG269" s="250"/>
      <c r="AH269" s="249"/>
      <c r="AI269" s="249"/>
      <c r="AJ269" s="250"/>
      <c r="AK269" s="249"/>
      <c r="AL269" s="249"/>
      <c r="AM269" s="249"/>
      <c r="AN269" s="249"/>
      <c r="AO269" s="249"/>
      <c r="AP269" s="249"/>
      <c r="AQ269" s="249"/>
      <c r="AR269" s="249"/>
      <c r="AS269" s="249"/>
      <c r="AT269" s="249">
        <v>3</v>
      </c>
      <c r="AU269" s="249">
        <f t="shared" si="17"/>
        <v>3</v>
      </c>
      <c r="AV269" s="269">
        <f t="shared" si="18"/>
        <v>3</v>
      </c>
      <c r="AW269" s="269">
        <f t="shared" si="19"/>
        <v>0</v>
      </c>
    </row>
    <row r="270" spans="2:49" s="140" customFormat="1" ht="22.5" x14ac:dyDescent="0.25">
      <c r="B270" s="227">
        <v>255</v>
      </c>
      <c r="C270" s="227" t="s">
        <v>39</v>
      </c>
      <c r="D270" s="28">
        <v>40013141</v>
      </c>
      <c r="E270" s="247" t="s">
        <v>1549</v>
      </c>
      <c r="F270" s="247" t="s">
        <v>54</v>
      </c>
      <c r="G270" s="229" t="s">
        <v>1237</v>
      </c>
      <c r="H270" s="247" t="s">
        <v>1257</v>
      </c>
      <c r="I270" s="247" t="s">
        <v>72</v>
      </c>
      <c r="J270" s="248">
        <v>1653946</v>
      </c>
      <c r="K270" s="248"/>
      <c r="L270" s="248">
        <f t="shared" si="15"/>
        <v>1653946</v>
      </c>
      <c r="M270" s="249"/>
      <c r="N270" s="249"/>
      <c r="O270" s="249"/>
      <c r="P270" s="249"/>
      <c r="Q270" s="249"/>
      <c r="R270" s="249"/>
      <c r="S270" s="249"/>
      <c r="T270" s="249"/>
      <c r="U270" s="249"/>
      <c r="V270" s="249"/>
      <c r="W270" s="249"/>
      <c r="X270" s="249"/>
      <c r="Y270" s="249">
        <f t="shared" si="16"/>
        <v>0</v>
      </c>
      <c r="Z270" s="249">
        <v>3</v>
      </c>
      <c r="AA270" s="249" t="s">
        <v>1336</v>
      </c>
      <c r="AB270" s="250">
        <v>44306</v>
      </c>
      <c r="AC270" s="249"/>
      <c r="AD270" s="249"/>
      <c r="AE270" s="249"/>
      <c r="AF270" s="250"/>
      <c r="AG270" s="250"/>
      <c r="AH270" s="249"/>
      <c r="AI270" s="249"/>
      <c r="AJ270" s="250"/>
      <c r="AK270" s="249"/>
      <c r="AL270" s="249"/>
      <c r="AM270" s="249"/>
      <c r="AN270" s="249"/>
      <c r="AO270" s="249"/>
      <c r="AP270" s="249"/>
      <c r="AQ270" s="249"/>
      <c r="AR270" s="249"/>
      <c r="AS270" s="249"/>
      <c r="AT270" s="249">
        <v>3</v>
      </c>
      <c r="AU270" s="249">
        <f t="shared" si="17"/>
        <v>3</v>
      </c>
      <c r="AV270" s="269">
        <f t="shared" si="18"/>
        <v>3</v>
      </c>
      <c r="AW270" s="269">
        <f t="shared" si="19"/>
        <v>0</v>
      </c>
    </row>
    <row r="271" spans="2:49" s="140" customFormat="1" x14ac:dyDescent="0.25">
      <c r="B271" s="227">
        <v>256</v>
      </c>
      <c r="C271" s="227" t="s">
        <v>39</v>
      </c>
      <c r="D271" s="28">
        <v>40014085</v>
      </c>
      <c r="E271" s="247" t="s">
        <v>1550</v>
      </c>
      <c r="F271" s="247" t="s">
        <v>54</v>
      </c>
      <c r="G271" s="229" t="s">
        <v>1237</v>
      </c>
      <c r="H271" s="247" t="s">
        <v>1242</v>
      </c>
      <c r="I271" s="247" t="s">
        <v>72</v>
      </c>
      <c r="J271" s="248">
        <v>162974</v>
      </c>
      <c r="K271" s="248"/>
      <c r="L271" s="248">
        <f t="shared" si="15"/>
        <v>162974</v>
      </c>
      <c r="M271" s="249"/>
      <c r="N271" s="249"/>
      <c r="O271" s="249"/>
      <c r="P271" s="249"/>
      <c r="Q271" s="249"/>
      <c r="R271" s="249"/>
      <c r="S271" s="249"/>
      <c r="T271" s="249"/>
      <c r="U271" s="249"/>
      <c r="V271" s="249"/>
      <c r="W271" s="249"/>
      <c r="X271" s="249"/>
      <c r="Y271" s="249">
        <f t="shared" si="16"/>
        <v>0</v>
      </c>
      <c r="Z271" s="249">
        <v>3</v>
      </c>
      <c r="AA271" s="249" t="s">
        <v>1336</v>
      </c>
      <c r="AB271" s="250">
        <v>44306</v>
      </c>
      <c r="AC271" s="249"/>
      <c r="AD271" s="249"/>
      <c r="AE271" s="249"/>
      <c r="AF271" s="250"/>
      <c r="AG271" s="250"/>
      <c r="AH271" s="249"/>
      <c r="AI271" s="249"/>
      <c r="AJ271" s="250"/>
      <c r="AK271" s="249"/>
      <c r="AL271" s="249"/>
      <c r="AM271" s="249"/>
      <c r="AN271" s="249"/>
      <c r="AO271" s="249"/>
      <c r="AP271" s="249"/>
      <c r="AQ271" s="249"/>
      <c r="AR271" s="249"/>
      <c r="AS271" s="249"/>
      <c r="AT271" s="249">
        <v>3</v>
      </c>
      <c r="AU271" s="249">
        <f t="shared" si="17"/>
        <v>3</v>
      </c>
      <c r="AV271" s="269">
        <f t="shared" si="18"/>
        <v>3</v>
      </c>
      <c r="AW271" s="269">
        <f t="shared" si="19"/>
        <v>0</v>
      </c>
    </row>
    <row r="272" spans="2:49" s="140" customFormat="1" x14ac:dyDescent="0.25">
      <c r="B272" s="227">
        <v>257</v>
      </c>
      <c r="C272" s="227" t="s">
        <v>39</v>
      </c>
      <c r="D272" s="28">
        <v>40014807</v>
      </c>
      <c r="E272" s="247" t="s">
        <v>1551</v>
      </c>
      <c r="F272" s="247" t="s">
        <v>54</v>
      </c>
      <c r="G272" s="229" t="s">
        <v>1237</v>
      </c>
      <c r="H272" s="247" t="s">
        <v>1331</v>
      </c>
      <c r="I272" s="247" t="s">
        <v>72</v>
      </c>
      <c r="J272" s="248">
        <v>734923</v>
      </c>
      <c r="K272" s="248"/>
      <c r="L272" s="248">
        <f t="shared" si="15"/>
        <v>734923</v>
      </c>
      <c r="M272" s="249"/>
      <c r="N272" s="249"/>
      <c r="O272" s="249"/>
      <c r="P272" s="249"/>
      <c r="Q272" s="249"/>
      <c r="R272" s="249"/>
      <c r="S272" s="249"/>
      <c r="T272" s="249"/>
      <c r="U272" s="249"/>
      <c r="V272" s="249"/>
      <c r="W272" s="249"/>
      <c r="X272" s="249"/>
      <c r="Y272" s="249">
        <f t="shared" si="16"/>
        <v>0</v>
      </c>
      <c r="Z272" s="249">
        <v>2</v>
      </c>
      <c r="AA272" s="249" t="s">
        <v>1336</v>
      </c>
      <c r="AB272" s="250">
        <v>44306</v>
      </c>
      <c r="AC272" s="249"/>
      <c r="AD272" s="249"/>
      <c r="AE272" s="249"/>
      <c r="AF272" s="250"/>
      <c r="AG272" s="250"/>
      <c r="AH272" s="249"/>
      <c r="AI272" s="249"/>
      <c r="AJ272" s="250"/>
      <c r="AK272" s="249"/>
      <c r="AL272" s="249"/>
      <c r="AM272" s="249"/>
      <c r="AN272" s="249"/>
      <c r="AO272" s="249"/>
      <c r="AP272" s="249"/>
      <c r="AQ272" s="249"/>
      <c r="AR272" s="249"/>
      <c r="AS272" s="249"/>
      <c r="AT272" s="249">
        <v>2</v>
      </c>
      <c r="AU272" s="249">
        <f t="shared" si="17"/>
        <v>2</v>
      </c>
      <c r="AV272" s="269">
        <f t="shared" si="18"/>
        <v>2</v>
      </c>
      <c r="AW272" s="269">
        <f t="shared" si="19"/>
        <v>0</v>
      </c>
    </row>
    <row r="273" spans="2:49" s="140" customFormat="1" ht="22.5" x14ac:dyDescent="0.25">
      <c r="B273" s="227">
        <v>258</v>
      </c>
      <c r="C273" s="227" t="s">
        <v>39</v>
      </c>
      <c r="D273" s="28">
        <v>40014812</v>
      </c>
      <c r="E273" s="247" t="s">
        <v>1552</v>
      </c>
      <c r="F273" s="247" t="s">
        <v>54</v>
      </c>
      <c r="G273" s="229" t="s">
        <v>1237</v>
      </c>
      <c r="H273" s="247" t="s">
        <v>1331</v>
      </c>
      <c r="I273" s="247" t="s">
        <v>72</v>
      </c>
      <c r="J273" s="248">
        <v>611432</v>
      </c>
      <c r="K273" s="248"/>
      <c r="L273" s="248">
        <f t="shared" si="15"/>
        <v>611432</v>
      </c>
      <c r="M273" s="249"/>
      <c r="N273" s="249"/>
      <c r="O273" s="249"/>
      <c r="P273" s="249"/>
      <c r="Q273" s="249"/>
      <c r="R273" s="249"/>
      <c r="S273" s="249"/>
      <c r="T273" s="249"/>
      <c r="U273" s="249"/>
      <c r="V273" s="249"/>
      <c r="W273" s="249"/>
      <c r="X273" s="249"/>
      <c r="Y273" s="249">
        <f t="shared" si="16"/>
        <v>0</v>
      </c>
      <c r="Z273" s="249">
        <v>3</v>
      </c>
      <c r="AA273" s="249" t="s">
        <v>1336</v>
      </c>
      <c r="AB273" s="250">
        <v>44306</v>
      </c>
      <c r="AC273" s="249"/>
      <c r="AD273" s="249"/>
      <c r="AE273" s="249"/>
      <c r="AF273" s="250"/>
      <c r="AG273" s="250"/>
      <c r="AH273" s="249"/>
      <c r="AI273" s="249"/>
      <c r="AJ273" s="250"/>
      <c r="AK273" s="249"/>
      <c r="AL273" s="249"/>
      <c r="AM273" s="249"/>
      <c r="AN273" s="249"/>
      <c r="AO273" s="249"/>
      <c r="AP273" s="249"/>
      <c r="AQ273" s="249"/>
      <c r="AR273" s="249"/>
      <c r="AS273" s="249"/>
      <c r="AT273" s="249">
        <v>3</v>
      </c>
      <c r="AU273" s="249">
        <f t="shared" si="17"/>
        <v>3</v>
      </c>
      <c r="AV273" s="269">
        <f t="shared" si="18"/>
        <v>3</v>
      </c>
      <c r="AW273" s="269">
        <f t="shared" si="19"/>
        <v>0</v>
      </c>
    </row>
    <row r="274" spans="2:49" s="140" customFormat="1" ht="22.5" x14ac:dyDescent="0.25">
      <c r="B274" s="227">
        <v>259</v>
      </c>
      <c r="C274" s="227" t="s">
        <v>39</v>
      </c>
      <c r="D274" s="28">
        <v>40015265</v>
      </c>
      <c r="E274" s="247" t="s">
        <v>1553</v>
      </c>
      <c r="F274" s="247" t="s">
        <v>1256</v>
      </c>
      <c r="G274" s="229" t="s">
        <v>1237</v>
      </c>
      <c r="H274" s="247" t="s">
        <v>1262</v>
      </c>
      <c r="I274" s="247" t="s">
        <v>72</v>
      </c>
      <c r="J274" s="248">
        <v>26857</v>
      </c>
      <c r="K274" s="248"/>
      <c r="L274" s="248">
        <f t="shared" ref="L274:L294" si="20">J274-K274</f>
        <v>26857</v>
      </c>
      <c r="M274" s="249"/>
      <c r="N274" s="249"/>
      <c r="O274" s="249"/>
      <c r="P274" s="249"/>
      <c r="Q274" s="249"/>
      <c r="R274" s="249"/>
      <c r="S274" s="249"/>
      <c r="T274" s="249"/>
      <c r="U274" s="249"/>
      <c r="V274" s="249"/>
      <c r="W274" s="249"/>
      <c r="X274" s="249"/>
      <c r="Y274" s="249">
        <f t="shared" ref="Y274:Y294" si="21">SUM(M274:X274)</f>
        <v>0</v>
      </c>
      <c r="Z274" s="249">
        <v>2</v>
      </c>
      <c r="AA274" s="249" t="s">
        <v>1336</v>
      </c>
      <c r="AB274" s="250">
        <v>44306</v>
      </c>
      <c r="AC274" s="249"/>
      <c r="AD274" s="249"/>
      <c r="AE274" s="249"/>
      <c r="AF274" s="250"/>
      <c r="AG274" s="250"/>
      <c r="AH274" s="249"/>
      <c r="AI274" s="249"/>
      <c r="AJ274" s="250"/>
      <c r="AK274" s="249"/>
      <c r="AL274" s="249"/>
      <c r="AM274" s="249"/>
      <c r="AN274" s="249"/>
      <c r="AO274" s="249"/>
      <c r="AP274" s="249"/>
      <c r="AQ274" s="249"/>
      <c r="AR274" s="249"/>
      <c r="AS274" s="249"/>
      <c r="AT274" s="249">
        <v>2</v>
      </c>
      <c r="AU274" s="249">
        <f t="shared" ref="AU274:AU294" si="22">AT274-Y274</f>
        <v>2</v>
      </c>
      <c r="AV274" s="269">
        <f t="shared" ref="AV274:AV294" si="23">Z274+AD274</f>
        <v>2</v>
      </c>
      <c r="AW274" s="269">
        <f t="shared" ref="AW274:AW294" si="24">AV274-AT274</f>
        <v>0</v>
      </c>
    </row>
    <row r="275" spans="2:49" s="140" customFormat="1" ht="22.5" x14ac:dyDescent="0.25">
      <c r="B275" s="227">
        <v>260</v>
      </c>
      <c r="C275" s="227" t="s">
        <v>39</v>
      </c>
      <c r="D275" s="28">
        <v>40017777</v>
      </c>
      <c r="E275" s="247" t="s">
        <v>1554</v>
      </c>
      <c r="F275" s="247" t="s">
        <v>54</v>
      </c>
      <c r="G275" s="229" t="s">
        <v>1237</v>
      </c>
      <c r="H275" s="247" t="s">
        <v>1555</v>
      </c>
      <c r="I275" s="247" t="s">
        <v>72</v>
      </c>
      <c r="J275" s="248">
        <v>293568</v>
      </c>
      <c r="K275" s="248"/>
      <c r="L275" s="248">
        <f t="shared" si="20"/>
        <v>293568</v>
      </c>
      <c r="M275" s="249"/>
      <c r="N275" s="249"/>
      <c r="O275" s="249"/>
      <c r="P275" s="249"/>
      <c r="Q275" s="249"/>
      <c r="R275" s="249"/>
      <c r="S275" s="249"/>
      <c r="T275" s="249"/>
      <c r="U275" s="249"/>
      <c r="V275" s="249"/>
      <c r="W275" s="249"/>
      <c r="X275" s="249"/>
      <c r="Y275" s="249">
        <f t="shared" si="21"/>
        <v>0</v>
      </c>
      <c r="Z275" s="249">
        <v>2</v>
      </c>
      <c r="AA275" s="249" t="s">
        <v>1336</v>
      </c>
      <c r="AB275" s="250">
        <v>44306</v>
      </c>
      <c r="AC275" s="249"/>
      <c r="AD275" s="249"/>
      <c r="AE275" s="249"/>
      <c r="AF275" s="250"/>
      <c r="AG275" s="250"/>
      <c r="AH275" s="249"/>
      <c r="AI275" s="249"/>
      <c r="AJ275" s="250"/>
      <c r="AK275" s="249"/>
      <c r="AL275" s="249"/>
      <c r="AM275" s="249"/>
      <c r="AN275" s="249"/>
      <c r="AO275" s="249"/>
      <c r="AP275" s="249"/>
      <c r="AQ275" s="249"/>
      <c r="AR275" s="249"/>
      <c r="AS275" s="249"/>
      <c r="AT275" s="249">
        <v>2</v>
      </c>
      <c r="AU275" s="249">
        <f t="shared" si="22"/>
        <v>2</v>
      </c>
      <c r="AV275" s="269">
        <f t="shared" si="23"/>
        <v>2</v>
      </c>
      <c r="AW275" s="269">
        <f t="shared" si="24"/>
        <v>0</v>
      </c>
    </row>
    <row r="276" spans="2:49" s="140" customFormat="1" ht="22.5" x14ac:dyDescent="0.25">
      <c r="B276" s="227">
        <v>261</v>
      </c>
      <c r="C276" s="227" t="s">
        <v>39</v>
      </c>
      <c r="D276" s="28">
        <v>40017781</v>
      </c>
      <c r="E276" s="247" t="s">
        <v>1556</v>
      </c>
      <c r="F276" s="247" t="s">
        <v>1256</v>
      </c>
      <c r="G276" s="229" t="s">
        <v>1237</v>
      </c>
      <c r="H276" s="247" t="s">
        <v>1262</v>
      </c>
      <c r="I276" s="247" t="s">
        <v>72</v>
      </c>
      <c r="J276" s="248">
        <v>29243</v>
      </c>
      <c r="K276" s="248"/>
      <c r="L276" s="248">
        <f t="shared" si="20"/>
        <v>29243</v>
      </c>
      <c r="M276" s="249"/>
      <c r="N276" s="249"/>
      <c r="O276" s="249"/>
      <c r="P276" s="249"/>
      <c r="Q276" s="249"/>
      <c r="R276" s="249"/>
      <c r="S276" s="249"/>
      <c r="T276" s="249"/>
      <c r="U276" s="249"/>
      <c r="V276" s="249"/>
      <c r="W276" s="249"/>
      <c r="X276" s="249"/>
      <c r="Y276" s="249">
        <f t="shared" si="21"/>
        <v>0</v>
      </c>
      <c r="Z276" s="249">
        <v>2</v>
      </c>
      <c r="AA276" s="249" t="s">
        <v>1336</v>
      </c>
      <c r="AB276" s="250">
        <v>44306</v>
      </c>
      <c r="AC276" s="249"/>
      <c r="AD276" s="249"/>
      <c r="AE276" s="249"/>
      <c r="AF276" s="250"/>
      <c r="AG276" s="250"/>
      <c r="AH276" s="249"/>
      <c r="AI276" s="249"/>
      <c r="AJ276" s="250"/>
      <c r="AK276" s="249"/>
      <c r="AL276" s="249"/>
      <c r="AM276" s="249"/>
      <c r="AN276" s="249"/>
      <c r="AO276" s="249"/>
      <c r="AP276" s="249"/>
      <c r="AQ276" s="249"/>
      <c r="AR276" s="249"/>
      <c r="AS276" s="249"/>
      <c r="AT276" s="249">
        <v>2</v>
      </c>
      <c r="AU276" s="249">
        <f t="shared" si="22"/>
        <v>2</v>
      </c>
      <c r="AV276" s="269">
        <f t="shared" si="23"/>
        <v>2</v>
      </c>
      <c r="AW276" s="269">
        <f t="shared" si="24"/>
        <v>0</v>
      </c>
    </row>
    <row r="277" spans="2:49" s="140" customFormat="1" ht="22.5" x14ac:dyDescent="0.25">
      <c r="B277" s="227">
        <v>262</v>
      </c>
      <c r="C277" s="227" t="s">
        <v>39</v>
      </c>
      <c r="D277" s="28">
        <v>40020833</v>
      </c>
      <c r="E277" s="247" t="s">
        <v>1557</v>
      </c>
      <c r="F277" s="247" t="s">
        <v>54</v>
      </c>
      <c r="G277" s="229" t="s">
        <v>1237</v>
      </c>
      <c r="H277" s="247" t="s">
        <v>1262</v>
      </c>
      <c r="I277" s="247" t="s">
        <v>72</v>
      </c>
      <c r="J277" s="248">
        <v>600026</v>
      </c>
      <c r="K277" s="248"/>
      <c r="L277" s="248">
        <f t="shared" si="20"/>
        <v>600026</v>
      </c>
      <c r="M277" s="249"/>
      <c r="N277" s="249"/>
      <c r="O277" s="249"/>
      <c r="P277" s="249"/>
      <c r="Q277" s="249"/>
      <c r="R277" s="249"/>
      <c r="S277" s="249"/>
      <c r="T277" s="249"/>
      <c r="U277" s="249"/>
      <c r="V277" s="249"/>
      <c r="W277" s="249"/>
      <c r="X277" s="249"/>
      <c r="Y277" s="249">
        <f t="shared" si="21"/>
        <v>0</v>
      </c>
      <c r="Z277" s="249">
        <v>3</v>
      </c>
      <c r="AA277" s="249" t="s">
        <v>1336</v>
      </c>
      <c r="AB277" s="250">
        <v>44306</v>
      </c>
      <c r="AC277" s="249"/>
      <c r="AD277" s="249"/>
      <c r="AE277" s="249"/>
      <c r="AF277" s="250"/>
      <c r="AG277" s="250"/>
      <c r="AH277" s="249"/>
      <c r="AI277" s="249"/>
      <c r="AJ277" s="250"/>
      <c r="AK277" s="249"/>
      <c r="AL277" s="249"/>
      <c r="AM277" s="249"/>
      <c r="AN277" s="249"/>
      <c r="AO277" s="249"/>
      <c r="AP277" s="249"/>
      <c r="AQ277" s="249"/>
      <c r="AR277" s="249"/>
      <c r="AS277" s="249"/>
      <c r="AT277" s="249">
        <v>3</v>
      </c>
      <c r="AU277" s="249">
        <f t="shared" si="22"/>
        <v>3</v>
      </c>
      <c r="AV277" s="269">
        <f t="shared" si="23"/>
        <v>3</v>
      </c>
      <c r="AW277" s="269">
        <f t="shared" si="24"/>
        <v>0</v>
      </c>
    </row>
    <row r="278" spans="2:49" s="140" customFormat="1" ht="22.5" x14ac:dyDescent="0.25">
      <c r="B278" s="227">
        <v>263</v>
      </c>
      <c r="C278" s="227" t="s">
        <v>39</v>
      </c>
      <c r="D278" s="28">
        <v>40021586</v>
      </c>
      <c r="E278" s="247" t="s">
        <v>1558</v>
      </c>
      <c r="F278" s="247" t="s">
        <v>1256</v>
      </c>
      <c r="G278" s="229" t="s">
        <v>1237</v>
      </c>
      <c r="H278" s="247" t="s">
        <v>1237</v>
      </c>
      <c r="I278" s="247" t="s">
        <v>72</v>
      </c>
      <c r="J278" s="248">
        <v>106468</v>
      </c>
      <c r="K278" s="248"/>
      <c r="L278" s="248">
        <f t="shared" si="20"/>
        <v>106468</v>
      </c>
      <c r="M278" s="249"/>
      <c r="N278" s="249"/>
      <c r="O278" s="249"/>
      <c r="P278" s="249"/>
      <c r="Q278" s="249"/>
      <c r="R278" s="249"/>
      <c r="S278" s="249"/>
      <c r="T278" s="249"/>
      <c r="U278" s="249"/>
      <c r="V278" s="249"/>
      <c r="W278" s="249"/>
      <c r="X278" s="249"/>
      <c r="Y278" s="249">
        <f t="shared" si="21"/>
        <v>0</v>
      </c>
      <c r="Z278" s="249">
        <v>1</v>
      </c>
      <c r="AA278" s="249" t="s">
        <v>1336</v>
      </c>
      <c r="AB278" s="250">
        <v>44306</v>
      </c>
      <c r="AC278" s="249"/>
      <c r="AD278" s="249"/>
      <c r="AE278" s="249"/>
      <c r="AF278" s="250"/>
      <c r="AG278" s="250"/>
      <c r="AH278" s="249"/>
      <c r="AI278" s="249"/>
      <c r="AJ278" s="250"/>
      <c r="AK278" s="249"/>
      <c r="AL278" s="249"/>
      <c r="AM278" s="249"/>
      <c r="AN278" s="249"/>
      <c r="AO278" s="249"/>
      <c r="AP278" s="249"/>
      <c r="AQ278" s="249"/>
      <c r="AR278" s="249"/>
      <c r="AS278" s="249"/>
      <c r="AT278" s="249">
        <v>1</v>
      </c>
      <c r="AU278" s="249">
        <f t="shared" si="22"/>
        <v>1</v>
      </c>
      <c r="AV278" s="269">
        <f t="shared" si="23"/>
        <v>1</v>
      </c>
      <c r="AW278" s="269">
        <f t="shared" si="24"/>
        <v>0</v>
      </c>
    </row>
    <row r="279" spans="2:49" s="140" customFormat="1" ht="22.5" x14ac:dyDescent="0.25">
      <c r="B279" s="227">
        <v>264</v>
      </c>
      <c r="C279" s="227" t="s">
        <v>39</v>
      </c>
      <c r="D279" s="28">
        <v>40022716</v>
      </c>
      <c r="E279" s="247" t="s">
        <v>1559</v>
      </c>
      <c r="F279" s="247" t="s">
        <v>54</v>
      </c>
      <c r="G279" s="229" t="s">
        <v>1237</v>
      </c>
      <c r="H279" s="247" t="s">
        <v>1262</v>
      </c>
      <c r="I279" s="247" t="s">
        <v>72</v>
      </c>
      <c r="J279" s="248">
        <v>659631</v>
      </c>
      <c r="K279" s="248"/>
      <c r="L279" s="248">
        <f t="shared" si="20"/>
        <v>659631</v>
      </c>
      <c r="M279" s="249"/>
      <c r="N279" s="249"/>
      <c r="O279" s="249"/>
      <c r="P279" s="249"/>
      <c r="Q279" s="249"/>
      <c r="R279" s="249"/>
      <c r="S279" s="249"/>
      <c r="T279" s="249"/>
      <c r="U279" s="249"/>
      <c r="V279" s="249"/>
      <c r="W279" s="249"/>
      <c r="X279" s="249"/>
      <c r="Y279" s="249">
        <f t="shared" si="21"/>
        <v>0</v>
      </c>
      <c r="Z279" s="249">
        <v>3</v>
      </c>
      <c r="AA279" s="249" t="s">
        <v>1336</v>
      </c>
      <c r="AB279" s="250">
        <v>44306</v>
      </c>
      <c r="AC279" s="249"/>
      <c r="AD279" s="249"/>
      <c r="AE279" s="249"/>
      <c r="AF279" s="250"/>
      <c r="AG279" s="250"/>
      <c r="AH279" s="249"/>
      <c r="AI279" s="249"/>
      <c r="AJ279" s="250"/>
      <c r="AK279" s="249"/>
      <c r="AL279" s="249"/>
      <c r="AM279" s="249"/>
      <c r="AN279" s="249"/>
      <c r="AO279" s="249"/>
      <c r="AP279" s="249"/>
      <c r="AQ279" s="249"/>
      <c r="AR279" s="249"/>
      <c r="AS279" s="249"/>
      <c r="AT279" s="249">
        <v>3</v>
      </c>
      <c r="AU279" s="249">
        <f t="shared" si="22"/>
        <v>3</v>
      </c>
      <c r="AV279" s="269">
        <f t="shared" si="23"/>
        <v>3</v>
      </c>
      <c r="AW279" s="269">
        <f t="shared" si="24"/>
        <v>0</v>
      </c>
    </row>
    <row r="280" spans="2:49" s="140" customFormat="1" x14ac:dyDescent="0.25">
      <c r="B280" s="227">
        <v>265</v>
      </c>
      <c r="C280" s="227" t="s">
        <v>39</v>
      </c>
      <c r="D280" s="28">
        <v>40022954</v>
      </c>
      <c r="E280" s="247" t="s">
        <v>1560</v>
      </c>
      <c r="F280" s="247" t="s">
        <v>54</v>
      </c>
      <c r="G280" s="229" t="s">
        <v>1237</v>
      </c>
      <c r="H280" s="247" t="s">
        <v>1331</v>
      </c>
      <c r="I280" s="247" t="s">
        <v>72</v>
      </c>
      <c r="J280" s="248">
        <v>283905</v>
      </c>
      <c r="K280" s="248"/>
      <c r="L280" s="248">
        <f t="shared" si="20"/>
        <v>283905</v>
      </c>
      <c r="M280" s="249"/>
      <c r="N280" s="249"/>
      <c r="O280" s="249"/>
      <c r="P280" s="249"/>
      <c r="Q280" s="249"/>
      <c r="R280" s="249"/>
      <c r="S280" s="249"/>
      <c r="T280" s="249"/>
      <c r="U280" s="249"/>
      <c r="V280" s="249"/>
      <c r="W280" s="249"/>
      <c r="X280" s="249"/>
      <c r="Y280" s="249">
        <f t="shared" si="21"/>
        <v>0</v>
      </c>
      <c r="Z280" s="249">
        <v>2</v>
      </c>
      <c r="AA280" s="249" t="s">
        <v>1336</v>
      </c>
      <c r="AB280" s="250">
        <v>44306</v>
      </c>
      <c r="AC280" s="249"/>
      <c r="AD280" s="249"/>
      <c r="AE280" s="249"/>
      <c r="AF280" s="250"/>
      <c r="AG280" s="250"/>
      <c r="AH280" s="249"/>
      <c r="AI280" s="249"/>
      <c r="AJ280" s="250"/>
      <c r="AK280" s="249"/>
      <c r="AL280" s="249"/>
      <c r="AM280" s="249"/>
      <c r="AN280" s="249"/>
      <c r="AO280" s="249"/>
      <c r="AP280" s="249"/>
      <c r="AQ280" s="249"/>
      <c r="AR280" s="249"/>
      <c r="AS280" s="249"/>
      <c r="AT280" s="249">
        <v>2</v>
      </c>
      <c r="AU280" s="249">
        <f t="shared" si="22"/>
        <v>2</v>
      </c>
      <c r="AV280" s="269">
        <f t="shared" si="23"/>
        <v>2</v>
      </c>
      <c r="AW280" s="269">
        <f t="shared" si="24"/>
        <v>0</v>
      </c>
    </row>
    <row r="281" spans="2:49" s="140" customFormat="1" ht="22.5" x14ac:dyDescent="0.25">
      <c r="B281" s="227">
        <v>266</v>
      </c>
      <c r="C281" s="227" t="s">
        <v>39</v>
      </c>
      <c r="D281" s="28">
        <v>40024013</v>
      </c>
      <c r="E281" s="247" t="s">
        <v>1561</v>
      </c>
      <c r="F281" s="247" t="s">
        <v>54</v>
      </c>
      <c r="G281" s="229" t="s">
        <v>1237</v>
      </c>
      <c r="H281" s="247" t="s">
        <v>1262</v>
      </c>
      <c r="I281" s="247" t="s">
        <v>72</v>
      </c>
      <c r="J281" s="248">
        <v>347593</v>
      </c>
      <c r="K281" s="248"/>
      <c r="L281" s="248">
        <f t="shared" si="20"/>
        <v>347593</v>
      </c>
      <c r="M281" s="249"/>
      <c r="N281" s="249"/>
      <c r="O281" s="249"/>
      <c r="P281" s="249"/>
      <c r="Q281" s="249"/>
      <c r="R281" s="249"/>
      <c r="S281" s="249"/>
      <c r="T281" s="249"/>
      <c r="U281" s="249"/>
      <c r="V281" s="249"/>
      <c r="W281" s="249"/>
      <c r="X281" s="249"/>
      <c r="Y281" s="249">
        <f t="shared" si="21"/>
        <v>0</v>
      </c>
      <c r="Z281" s="249">
        <v>1</v>
      </c>
      <c r="AA281" s="249" t="s">
        <v>1336</v>
      </c>
      <c r="AB281" s="250">
        <v>44306</v>
      </c>
      <c r="AC281" s="249"/>
      <c r="AD281" s="249"/>
      <c r="AE281" s="249"/>
      <c r="AF281" s="250"/>
      <c r="AG281" s="250"/>
      <c r="AH281" s="249"/>
      <c r="AI281" s="249"/>
      <c r="AJ281" s="250"/>
      <c r="AK281" s="249"/>
      <c r="AL281" s="249"/>
      <c r="AM281" s="249"/>
      <c r="AN281" s="249"/>
      <c r="AO281" s="249"/>
      <c r="AP281" s="249"/>
      <c r="AQ281" s="249"/>
      <c r="AR281" s="249"/>
      <c r="AS281" s="249"/>
      <c r="AT281" s="249">
        <v>1</v>
      </c>
      <c r="AU281" s="249">
        <f t="shared" si="22"/>
        <v>1</v>
      </c>
      <c r="AV281" s="269">
        <f t="shared" si="23"/>
        <v>1</v>
      </c>
      <c r="AW281" s="269">
        <f t="shared" si="24"/>
        <v>0</v>
      </c>
    </row>
    <row r="282" spans="2:49" s="140" customFormat="1" ht="22.5" x14ac:dyDescent="0.25">
      <c r="B282" s="227">
        <v>267</v>
      </c>
      <c r="C282" s="227" t="s">
        <v>39</v>
      </c>
      <c r="D282" s="28">
        <v>40025804</v>
      </c>
      <c r="E282" s="247" t="s">
        <v>1562</v>
      </c>
      <c r="F282" s="247" t="s">
        <v>54</v>
      </c>
      <c r="G282" s="229" t="s">
        <v>1237</v>
      </c>
      <c r="H282" s="247" t="s">
        <v>1329</v>
      </c>
      <c r="I282" s="247" t="s">
        <v>72</v>
      </c>
      <c r="J282" s="248">
        <v>358738</v>
      </c>
      <c r="K282" s="248"/>
      <c r="L282" s="248">
        <f t="shared" si="20"/>
        <v>358738</v>
      </c>
      <c r="M282" s="249"/>
      <c r="N282" s="249"/>
      <c r="O282" s="249"/>
      <c r="P282" s="249"/>
      <c r="Q282" s="249"/>
      <c r="R282" s="249"/>
      <c r="S282" s="249"/>
      <c r="T282" s="249"/>
      <c r="U282" s="249"/>
      <c r="V282" s="249"/>
      <c r="W282" s="249"/>
      <c r="X282" s="249"/>
      <c r="Y282" s="249">
        <f t="shared" si="21"/>
        <v>0</v>
      </c>
      <c r="Z282" s="249">
        <v>3</v>
      </c>
      <c r="AA282" s="249" t="s">
        <v>1336</v>
      </c>
      <c r="AB282" s="250">
        <v>44306</v>
      </c>
      <c r="AC282" s="249"/>
      <c r="AD282" s="249"/>
      <c r="AE282" s="249"/>
      <c r="AF282" s="250"/>
      <c r="AG282" s="250"/>
      <c r="AH282" s="249"/>
      <c r="AI282" s="249"/>
      <c r="AJ282" s="250"/>
      <c r="AK282" s="249"/>
      <c r="AL282" s="249"/>
      <c r="AM282" s="249"/>
      <c r="AN282" s="249"/>
      <c r="AO282" s="249"/>
      <c r="AP282" s="249"/>
      <c r="AQ282" s="249"/>
      <c r="AR282" s="249"/>
      <c r="AS282" s="249"/>
      <c r="AT282" s="249">
        <v>3</v>
      </c>
      <c r="AU282" s="249">
        <f t="shared" si="22"/>
        <v>3</v>
      </c>
      <c r="AV282" s="269">
        <f t="shared" si="23"/>
        <v>3</v>
      </c>
      <c r="AW282" s="269">
        <f t="shared" si="24"/>
        <v>0</v>
      </c>
    </row>
    <row r="283" spans="2:49" s="140" customFormat="1" ht="22.5" x14ac:dyDescent="0.25">
      <c r="B283" s="227">
        <v>268</v>
      </c>
      <c r="C283" s="227" t="s">
        <v>39</v>
      </c>
      <c r="D283" s="28">
        <v>40026255</v>
      </c>
      <c r="E283" s="247" t="s">
        <v>1563</v>
      </c>
      <c r="F283" s="247" t="s">
        <v>54</v>
      </c>
      <c r="G283" s="229" t="s">
        <v>1237</v>
      </c>
      <c r="H283" s="247" t="s">
        <v>1242</v>
      </c>
      <c r="I283" s="247" t="s">
        <v>72</v>
      </c>
      <c r="J283" s="248">
        <v>943621</v>
      </c>
      <c r="K283" s="248"/>
      <c r="L283" s="248">
        <f t="shared" si="20"/>
        <v>943621</v>
      </c>
      <c r="M283" s="249"/>
      <c r="N283" s="249"/>
      <c r="O283" s="249"/>
      <c r="P283" s="249"/>
      <c r="Q283" s="249"/>
      <c r="R283" s="249"/>
      <c r="S283" s="249"/>
      <c r="T283" s="249"/>
      <c r="U283" s="249"/>
      <c r="V283" s="249"/>
      <c r="W283" s="249"/>
      <c r="X283" s="249"/>
      <c r="Y283" s="249">
        <f t="shared" si="21"/>
        <v>0</v>
      </c>
      <c r="Z283" s="249">
        <v>3</v>
      </c>
      <c r="AA283" s="249" t="s">
        <v>1336</v>
      </c>
      <c r="AB283" s="250">
        <v>44306</v>
      </c>
      <c r="AC283" s="249"/>
      <c r="AD283" s="249"/>
      <c r="AE283" s="249"/>
      <c r="AF283" s="250"/>
      <c r="AG283" s="250"/>
      <c r="AH283" s="249"/>
      <c r="AI283" s="249"/>
      <c r="AJ283" s="250"/>
      <c r="AK283" s="249"/>
      <c r="AL283" s="249"/>
      <c r="AM283" s="249"/>
      <c r="AN283" s="249"/>
      <c r="AO283" s="249"/>
      <c r="AP283" s="249"/>
      <c r="AQ283" s="249"/>
      <c r="AR283" s="249"/>
      <c r="AS283" s="249"/>
      <c r="AT283" s="249">
        <v>3</v>
      </c>
      <c r="AU283" s="249">
        <f t="shared" si="22"/>
        <v>3</v>
      </c>
      <c r="AV283" s="269">
        <f t="shared" si="23"/>
        <v>3</v>
      </c>
      <c r="AW283" s="269">
        <f t="shared" si="24"/>
        <v>0</v>
      </c>
    </row>
    <row r="284" spans="2:49" s="140" customFormat="1" ht="22.5" x14ac:dyDescent="0.25">
      <c r="B284" s="227">
        <v>269</v>
      </c>
      <c r="C284" s="227" t="s">
        <v>39</v>
      </c>
      <c r="D284" s="28">
        <v>40028023</v>
      </c>
      <c r="E284" s="247" t="s">
        <v>1564</v>
      </c>
      <c r="F284" s="247" t="s">
        <v>54</v>
      </c>
      <c r="G284" s="229" t="s">
        <v>1237</v>
      </c>
      <c r="H284" s="247" t="s">
        <v>1242</v>
      </c>
      <c r="I284" s="247" t="s">
        <v>72</v>
      </c>
      <c r="J284" s="248">
        <v>76769</v>
      </c>
      <c r="K284" s="248"/>
      <c r="L284" s="248">
        <f t="shared" si="20"/>
        <v>76769</v>
      </c>
      <c r="M284" s="249"/>
      <c r="N284" s="249"/>
      <c r="O284" s="249"/>
      <c r="P284" s="249"/>
      <c r="Q284" s="249"/>
      <c r="R284" s="249"/>
      <c r="S284" s="249"/>
      <c r="T284" s="249"/>
      <c r="U284" s="249"/>
      <c r="V284" s="249"/>
      <c r="W284" s="249"/>
      <c r="X284" s="249"/>
      <c r="Y284" s="249">
        <f t="shared" si="21"/>
        <v>0</v>
      </c>
      <c r="Z284" s="249">
        <v>3</v>
      </c>
      <c r="AA284" s="249" t="s">
        <v>1336</v>
      </c>
      <c r="AB284" s="250">
        <v>44306</v>
      </c>
      <c r="AC284" s="249"/>
      <c r="AD284" s="249"/>
      <c r="AE284" s="249"/>
      <c r="AF284" s="250"/>
      <c r="AG284" s="250"/>
      <c r="AH284" s="249"/>
      <c r="AI284" s="249"/>
      <c r="AJ284" s="250"/>
      <c r="AK284" s="249"/>
      <c r="AL284" s="249"/>
      <c r="AM284" s="249"/>
      <c r="AN284" s="249"/>
      <c r="AO284" s="249"/>
      <c r="AP284" s="249"/>
      <c r="AQ284" s="249"/>
      <c r="AR284" s="249"/>
      <c r="AS284" s="249"/>
      <c r="AT284" s="249">
        <v>3</v>
      </c>
      <c r="AU284" s="249">
        <f t="shared" si="22"/>
        <v>3</v>
      </c>
      <c r="AV284" s="269">
        <f t="shared" si="23"/>
        <v>3</v>
      </c>
      <c r="AW284" s="269">
        <f t="shared" si="24"/>
        <v>0</v>
      </c>
    </row>
    <row r="285" spans="2:49" s="140" customFormat="1" x14ac:dyDescent="0.25">
      <c r="B285" s="227">
        <v>270</v>
      </c>
      <c r="C285" s="227" t="s">
        <v>42</v>
      </c>
      <c r="D285" s="28">
        <v>40027329</v>
      </c>
      <c r="E285" s="247" t="s">
        <v>1565</v>
      </c>
      <c r="F285" s="247" t="s">
        <v>54</v>
      </c>
      <c r="G285" s="229" t="s">
        <v>1237</v>
      </c>
      <c r="H285" s="247" t="s">
        <v>1329</v>
      </c>
      <c r="I285" s="247" t="s">
        <v>72</v>
      </c>
      <c r="J285" s="248">
        <v>71097</v>
      </c>
      <c r="K285" s="248"/>
      <c r="L285" s="248">
        <f t="shared" si="20"/>
        <v>71097</v>
      </c>
      <c r="M285" s="249"/>
      <c r="N285" s="249"/>
      <c r="O285" s="249"/>
      <c r="P285" s="249"/>
      <c r="Q285" s="249"/>
      <c r="R285" s="249"/>
      <c r="S285" s="249"/>
      <c r="T285" s="249"/>
      <c r="U285" s="249"/>
      <c r="V285" s="249"/>
      <c r="W285" s="249"/>
      <c r="X285" s="249"/>
      <c r="Y285" s="249">
        <f t="shared" si="21"/>
        <v>0</v>
      </c>
      <c r="Z285" s="249">
        <v>1</v>
      </c>
      <c r="AA285" s="249" t="s">
        <v>1336</v>
      </c>
      <c r="AB285" s="250">
        <v>44306</v>
      </c>
      <c r="AC285" s="249"/>
      <c r="AD285" s="249"/>
      <c r="AE285" s="249"/>
      <c r="AF285" s="250"/>
      <c r="AG285" s="250"/>
      <c r="AH285" s="249"/>
      <c r="AI285" s="249"/>
      <c r="AJ285" s="250"/>
      <c r="AK285" s="249"/>
      <c r="AL285" s="249"/>
      <c r="AM285" s="249"/>
      <c r="AN285" s="249"/>
      <c r="AO285" s="249"/>
      <c r="AP285" s="249"/>
      <c r="AQ285" s="249"/>
      <c r="AR285" s="249"/>
      <c r="AS285" s="249"/>
      <c r="AT285" s="249">
        <v>1</v>
      </c>
      <c r="AU285" s="249">
        <f t="shared" si="22"/>
        <v>1</v>
      </c>
      <c r="AV285" s="269">
        <f t="shared" si="23"/>
        <v>1</v>
      </c>
      <c r="AW285" s="269">
        <f t="shared" si="24"/>
        <v>0</v>
      </c>
    </row>
    <row r="286" spans="2:49" s="140" customFormat="1" x14ac:dyDescent="0.25">
      <c r="B286" s="227">
        <v>271</v>
      </c>
      <c r="C286" s="227" t="s">
        <v>42</v>
      </c>
      <c r="D286" s="28">
        <v>40022472</v>
      </c>
      <c r="E286" s="247" t="s">
        <v>1566</v>
      </c>
      <c r="F286" s="247" t="s">
        <v>54</v>
      </c>
      <c r="G286" s="229" t="s">
        <v>1237</v>
      </c>
      <c r="H286" s="247" t="s">
        <v>1353</v>
      </c>
      <c r="I286" s="247" t="s">
        <v>72</v>
      </c>
      <c r="J286" s="248">
        <v>287476</v>
      </c>
      <c r="K286" s="248"/>
      <c r="L286" s="248">
        <f t="shared" si="20"/>
        <v>287476</v>
      </c>
      <c r="M286" s="249"/>
      <c r="N286" s="249"/>
      <c r="O286" s="249"/>
      <c r="P286" s="249"/>
      <c r="Q286" s="249"/>
      <c r="R286" s="249"/>
      <c r="S286" s="249"/>
      <c r="T286" s="249"/>
      <c r="U286" s="249"/>
      <c r="V286" s="249"/>
      <c r="W286" s="249"/>
      <c r="X286" s="249"/>
      <c r="Y286" s="249">
        <f t="shared" si="21"/>
        <v>0</v>
      </c>
      <c r="Z286" s="249">
        <v>1</v>
      </c>
      <c r="AA286" s="249" t="s">
        <v>1336</v>
      </c>
      <c r="AB286" s="250">
        <v>44306</v>
      </c>
      <c r="AC286" s="249"/>
      <c r="AD286" s="249"/>
      <c r="AE286" s="249"/>
      <c r="AF286" s="250"/>
      <c r="AG286" s="250"/>
      <c r="AH286" s="249"/>
      <c r="AI286" s="249"/>
      <c r="AJ286" s="250"/>
      <c r="AK286" s="249"/>
      <c r="AL286" s="249"/>
      <c r="AM286" s="249"/>
      <c r="AN286" s="249"/>
      <c r="AO286" s="249"/>
      <c r="AP286" s="249"/>
      <c r="AQ286" s="249"/>
      <c r="AR286" s="249"/>
      <c r="AS286" s="249"/>
      <c r="AT286" s="249">
        <v>1</v>
      </c>
      <c r="AU286" s="249">
        <f t="shared" si="22"/>
        <v>1</v>
      </c>
      <c r="AV286" s="269">
        <f t="shared" si="23"/>
        <v>1</v>
      </c>
      <c r="AW286" s="269">
        <f t="shared" si="24"/>
        <v>0</v>
      </c>
    </row>
    <row r="287" spans="2:49" s="140" customFormat="1" x14ac:dyDescent="0.25">
      <c r="B287" s="227">
        <v>272</v>
      </c>
      <c r="C287" s="227" t="s">
        <v>42</v>
      </c>
      <c r="D287" s="28">
        <v>40011488</v>
      </c>
      <c r="E287" s="247" t="s">
        <v>1567</v>
      </c>
      <c r="F287" s="247" t="s">
        <v>54</v>
      </c>
      <c r="G287" s="229" t="s">
        <v>1237</v>
      </c>
      <c r="H287" s="247" t="s">
        <v>1303</v>
      </c>
      <c r="I287" s="247" t="s">
        <v>72</v>
      </c>
      <c r="J287" s="248">
        <v>206840</v>
      </c>
      <c r="K287" s="248"/>
      <c r="L287" s="248">
        <f t="shared" si="20"/>
        <v>206840</v>
      </c>
      <c r="M287" s="249"/>
      <c r="N287" s="249"/>
      <c r="O287" s="249"/>
      <c r="P287" s="249"/>
      <c r="Q287" s="249"/>
      <c r="R287" s="249"/>
      <c r="S287" s="249"/>
      <c r="T287" s="249"/>
      <c r="U287" s="249"/>
      <c r="V287" s="249"/>
      <c r="W287" s="249"/>
      <c r="X287" s="249"/>
      <c r="Y287" s="249">
        <f t="shared" si="21"/>
        <v>0</v>
      </c>
      <c r="Z287" s="249">
        <v>2</v>
      </c>
      <c r="AA287" s="249" t="s">
        <v>1336</v>
      </c>
      <c r="AB287" s="250">
        <v>44306</v>
      </c>
      <c r="AC287" s="249"/>
      <c r="AD287" s="249"/>
      <c r="AE287" s="249"/>
      <c r="AF287" s="250"/>
      <c r="AG287" s="250"/>
      <c r="AH287" s="249"/>
      <c r="AI287" s="249"/>
      <c r="AJ287" s="250"/>
      <c r="AK287" s="249"/>
      <c r="AL287" s="249"/>
      <c r="AM287" s="249"/>
      <c r="AN287" s="249"/>
      <c r="AO287" s="249"/>
      <c r="AP287" s="249"/>
      <c r="AQ287" s="249"/>
      <c r="AR287" s="249"/>
      <c r="AS287" s="249"/>
      <c r="AT287" s="249">
        <v>2</v>
      </c>
      <c r="AU287" s="249">
        <f t="shared" si="22"/>
        <v>2</v>
      </c>
      <c r="AV287" s="269">
        <f t="shared" si="23"/>
        <v>2</v>
      </c>
      <c r="AW287" s="269">
        <f t="shared" si="24"/>
        <v>0</v>
      </c>
    </row>
    <row r="288" spans="2:49" s="140" customFormat="1" ht="22.5" x14ac:dyDescent="0.25">
      <c r="B288" s="227">
        <v>273</v>
      </c>
      <c r="C288" s="227" t="s">
        <v>39</v>
      </c>
      <c r="D288" s="28">
        <v>40019613</v>
      </c>
      <c r="E288" s="247" t="s">
        <v>1568</v>
      </c>
      <c r="F288" s="247" t="s">
        <v>54</v>
      </c>
      <c r="G288" s="229" t="s">
        <v>1237</v>
      </c>
      <c r="H288" s="247" t="s">
        <v>1294</v>
      </c>
      <c r="I288" s="247" t="s">
        <v>72</v>
      </c>
      <c r="J288" s="248">
        <v>176024</v>
      </c>
      <c r="K288" s="248"/>
      <c r="L288" s="248">
        <f t="shared" si="20"/>
        <v>176024</v>
      </c>
      <c r="M288" s="249"/>
      <c r="N288" s="249"/>
      <c r="O288" s="249"/>
      <c r="P288" s="249"/>
      <c r="Q288" s="249"/>
      <c r="R288" s="249"/>
      <c r="S288" s="249"/>
      <c r="T288" s="249"/>
      <c r="U288" s="249"/>
      <c r="V288" s="249"/>
      <c r="W288" s="249"/>
      <c r="X288" s="249"/>
      <c r="Y288" s="249">
        <f t="shared" si="21"/>
        <v>0</v>
      </c>
      <c r="Z288" s="249">
        <v>1</v>
      </c>
      <c r="AA288" s="249" t="s">
        <v>1336</v>
      </c>
      <c r="AB288" s="250">
        <v>44306</v>
      </c>
      <c r="AC288" s="249"/>
      <c r="AD288" s="249"/>
      <c r="AE288" s="249"/>
      <c r="AF288" s="250"/>
      <c r="AG288" s="250"/>
      <c r="AH288" s="249"/>
      <c r="AI288" s="249"/>
      <c r="AJ288" s="250"/>
      <c r="AK288" s="249"/>
      <c r="AL288" s="249"/>
      <c r="AM288" s="249"/>
      <c r="AN288" s="249"/>
      <c r="AO288" s="249"/>
      <c r="AP288" s="249"/>
      <c r="AQ288" s="249"/>
      <c r="AR288" s="249"/>
      <c r="AS288" s="249"/>
      <c r="AT288" s="249">
        <v>1</v>
      </c>
      <c r="AU288" s="249">
        <f t="shared" si="22"/>
        <v>1</v>
      </c>
      <c r="AV288" s="269">
        <f t="shared" si="23"/>
        <v>1</v>
      </c>
      <c r="AW288" s="269">
        <f t="shared" si="24"/>
        <v>0</v>
      </c>
    </row>
    <row r="289" spans="2:49" s="140" customFormat="1" ht="22.5" x14ac:dyDescent="0.25">
      <c r="B289" s="227">
        <v>274</v>
      </c>
      <c r="C289" s="227" t="s">
        <v>39</v>
      </c>
      <c r="D289" s="28">
        <v>40001842</v>
      </c>
      <c r="E289" s="247" t="s">
        <v>1569</v>
      </c>
      <c r="F289" s="247" t="s">
        <v>54</v>
      </c>
      <c r="G289" s="229" t="s">
        <v>1237</v>
      </c>
      <c r="H289" s="247" t="s">
        <v>1237</v>
      </c>
      <c r="I289" s="247" t="s">
        <v>72</v>
      </c>
      <c r="J289" s="248">
        <v>3020372</v>
      </c>
      <c r="K289" s="248"/>
      <c r="L289" s="248">
        <f t="shared" si="20"/>
        <v>3020372</v>
      </c>
      <c r="M289" s="249"/>
      <c r="N289" s="249"/>
      <c r="O289" s="249"/>
      <c r="P289" s="249"/>
      <c r="Q289" s="249"/>
      <c r="R289" s="249"/>
      <c r="S289" s="249"/>
      <c r="T289" s="249"/>
      <c r="U289" s="249"/>
      <c r="V289" s="249"/>
      <c r="W289" s="249"/>
      <c r="X289" s="249"/>
      <c r="Y289" s="249">
        <f t="shared" si="21"/>
        <v>0</v>
      </c>
      <c r="Z289" s="249">
        <v>2</v>
      </c>
      <c r="AA289" s="249" t="s">
        <v>1336</v>
      </c>
      <c r="AB289" s="250">
        <v>44306</v>
      </c>
      <c r="AC289" s="249"/>
      <c r="AD289" s="249"/>
      <c r="AE289" s="249"/>
      <c r="AF289" s="250"/>
      <c r="AG289" s="250"/>
      <c r="AH289" s="249"/>
      <c r="AI289" s="249"/>
      <c r="AJ289" s="250"/>
      <c r="AK289" s="249"/>
      <c r="AL289" s="249"/>
      <c r="AM289" s="249"/>
      <c r="AN289" s="249"/>
      <c r="AO289" s="249"/>
      <c r="AP289" s="249"/>
      <c r="AQ289" s="249"/>
      <c r="AR289" s="249"/>
      <c r="AS289" s="249"/>
      <c r="AT289" s="249">
        <v>2</v>
      </c>
      <c r="AU289" s="249">
        <f t="shared" si="22"/>
        <v>2</v>
      </c>
      <c r="AV289" s="269">
        <f t="shared" si="23"/>
        <v>2</v>
      </c>
      <c r="AW289" s="269">
        <f t="shared" si="24"/>
        <v>0</v>
      </c>
    </row>
    <row r="290" spans="2:49" s="140" customFormat="1" x14ac:dyDescent="0.25">
      <c r="B290" s="227">
        <v>275</v>
      </c>
      <c r="C290" s="227" t="s">
        <v>39</v>
      </c>
      <c r="D290" s="28">
        <v>30485699</v>
      </c>
      <c r="E290" s="247" t="s">
        <v>1570</v>
      </c>
      <c r="F290" s="247" t="s">
        <v>54</v>
      </c>
      <c r="G290" s="229" t="s">
        <v>1237</v>
      </c>
      <c r="H290" s="247" t="s">
        <v>1307</v>
      </c>
      <c r="I290" s="247" t="s">
        <v>72</v>
      </c>
      <c r="J290" s="248">
        <v>362110</v>
      </c>
      <c r="K290" s="248"/>
      <c r="L290" s="248">
        <f t="shared" si="20"/>
        <v>362110</v>
      </c>
      <c r="M290" s="249"/>
      <c r="N290" s="249"/>
      <c r="O290" s="249"/>
      <c r="P290" s="249"/>
      <c r="Q290" s="249"/>
      <c r="R290" s="249"/>
      <c r="S290" s="249"/>
      <c r="T290" s="249"/>
      <c r="U290" s="249"/>
      <c r="V290" s="249"/>
      <c r="W290" s="249"/>
      <c r="X290" s="249"/>
      <c r="Y290" s="249">
        <f t="shared" si="21"/>
        <v>0</v>
      </c>
      <c r="Z290" s="249">
        <v>3</v>
      </c>
      <c r="AA290" s="249" t="s">
        <v>1336</v>
      </c>
      <c r="AB290" s="250">
        <v>44306</v>
      </c>
      <c r="AC290" s="249"/>
      <c r="AD290" s="249"/>
      <c r="AE290" s="249"/>
      <c r="AF290" s="250"/>
      <c r="AG290" s="250"/>
      <c r="AH290" s="249"/>
      <c r="AI290" s="249"/>
      <c r="AJ290" s="250"/>
      <c r="AK290" s="249"/>
      <c r="AL290" s="249"/>
      <c r="AM290" s="249"/>
      <c r="AN290" s="249"/>
      <c r="AO290" s="249"/>
      <c r="AP290" s="249"/>
      <c r="AQ290" s="249"/>
      <c r="AR290" s="249"/>
      <c r="AS290" s="249"/>
      <c r="AT290" s="249">
        <v>3</v>
      </c>
      <c r="AU290" s="249">
        <f t="shared" si="22"/>
        <v>3</v>
      </c>
      <c r="AV290" s="269">
        <f t="shared" si="23"/>
        <v>3</v>
      </c>
      <c r="AW290" s="269">
        <f t="shared" si="24"/>
        <v>0</v>
      </c>
    </row>
    <row r="291" spans="2:49" s="140" customFormat="1" ht="22.5" x14ac:dyDescent="0.25">
      <c r="B291" s="227">
        <v>276</v>
      </c>
      <c r="C291" s="227" t="s">
        <v>39</v>
      </c>
      <c r="D291" s="28">
        <v>30441774</v>
      </c>
      <c r="E291" s="247" t="s">
        <v>1571</v>
      </c>
      <c r="F291" s="247" t="s">
        <v>54</v>
      </c>
      <c r="G291" s="229" t="s">
        <v>1237</v>
      </c>
      <c r="H291" s="247" t="s">
        <v>1317</v>
      </c>
      <c r="I291" s="247" t="s">
        <v>72</v>
      </c>
      <c r="J291" s="248">
        <v>169303</v>
      </c>
      <c r="K291" s="248"/>
      <c r="L291" s="248">
        <f t="shared" si="20"/>
        <v>169303</v>
      </c>
      <c r="M291" s="249"/>
      <c r="N291" s="249"/>
      <c r="O291" s="249"/>
      <c r="P291" s="249"/>
      <c r="Q291" s="249"/>
      <c r="R291" s="249"/>
      <c r="S291" s="249"/>
      <c r="T291" s="249"/>
      <c r="U291" s="249"/>
      <c r="V291" s="249"/>
      <c r="W291" s="249"/>
      <c r="X291" s="249"/>
      <c r="Y291" s="249">
        <f t="shared" si="21"/>
        <v>0</v>
      </c>
      <c r="Z291" s="249">
        <v>1</v>
      </c>
      <c r="AA291" s="249" t="s">
        <v>1336</v>
      </c>
      <c r="AB291" s="250">
        <v>44306</v>
      </c>
      <c r="AC291" s="249"/>
      <c r="AD291" s="249"/>
      <c r="AE291" s="249"/>
      <c r="AF291" s="250"/>
      <c r="AG291" s="250"/>
      <c r="AH291" s="249"/>
      <c r="AI291" s="249"/>
      <c r="AJ291" s="250"/>
      <c r="AK291" s="249"/>
      <c r="AL291" s="249"/>
      <c r="AM291" s="249"/>
      <c r="AN291" s="249"/>
      <c r="AO291" s="249"/>
      <c r="AP291" s="249"/>
      <c r="AQ291" s="249"/>
      <c r="AR291" s="249"/>
      <c r="AS291" s="249"/>
      <c r="AT291" s="249">
        <v>1</v>
      </c>
      <c r="AU291" s="249">
        <f t="shared" si="22"/>
        <v>1</v>
      </c>
      <c r="AV291" s="269">
        <f t="shared" si="23"/>
        <v>1</v>
      </c>
      <c r="AW291" s="269">
        <f t="shared" si="24"/>
        <v>0</v>
      </c>
    </row>
    <row r="292" spans="2:49" s="140" customFormat="1" ht="22.5" x14ac:dyDescent="0.25">
      <c r="B292" s="227">
        <v>277</v>
      </c>
      <c r="C292" s="227" t="s">
        <v>42</v>
      </c>
      <c r="D292" s="28">
        <v>40020052</v>
      </c>
      <c r="E292" s="247" t="s">
        <v>1572</v>
      </c>
      <c r="F292" s="247" t="s">
        <v>54</v>
      </c>
      <c r="G292" s="229" t="s">
        <v>1237</v>
      </c>
      <c r="H292" s="247" t="s">
        <v>1331</v>
      </c>
      <c r="I292" s="247" t="s">
        <v>72</v>
      </c>
      <c r="J292" s="248">
        <v>245955</v>
      </c>
      <c r="K292" s="248"/>
      <c r="L292" s="248">
        <f t="shared" si="20"/>
        <v>245955</v>
      </c>
      <c r="M292" s="249"/>
      <c r="N292" s="249"/>
      <c r="O292" s="249"/>
      <c r="P292" s="249"/>
      <c r="Q292" s="249"/>
      <c r="R292" s="249"/>
      <c r="S292" s="249"/>
      <c r="T292" s="249"/>
      <c r="U292" s="249"/>
      <c r="V292" s="249"/>
      <c r="W292" s="249"/>
      <c r="X292" s="249"/>
      <c r="Y292" s="249">
        <f t="shared" si="21"/>
        <v>0</v>
      </c>
      <c r="Z292" s="249">
        <v>1</v>
      </c>
      <c r="AA292" s="249" t="s">
        <v>1336</v>
      </c>
      <c r="AB292" s="250">
        <v>44306</v>
      </c>
      <c r="AC292" s="249"/>
      <c r="AD292" s="249"/>
      <c r="AE292" s="249"/>
      <c r="AF292" s="250"/>
      <c r="AG292" s="250"/>
      <c r="AH292" s="249"/>
      <c r="AI292" s="249"/>
      <c r="AJ292" s="250"/>
      <c r="AK292" s="249"/>
      <c r="AL292" s="249"/>
      <c r="AM292" s="249"/>
      <c r="AN292" s="249"/>
      <c r="AO292" s="249"/>
      <c r="AP292" s="249"/>
      <c r="AQ292" s="249"/>
      <c r="AR292" s="249"/>
      <c r="AS292" s="249"/>
      <c r="AT292" s="249">
        <v>1</v>
      </c>
      <c r="AU292" s="249">
        <f t="shared" si="22"/>
        <v>1</v>
      </c>
      <c r="AV292" s="269">
        <f t="shared" si="23"/>
        <v>1</v>
      </c>
      <c r="AW292" s="269">
        <f t="shared" si="24"/>
        <v>0</v>
      </c>
    </row>
    <row r="293" spans="2:49" s="140" customFormat="1" x14ac:dyDescent="0.25">
      <c r="B293" s="227">
        <v>278</v>
      </c>
      <c r="C293" s="227" t="s">
        <v>39</v>
      </c>
      <c r="D293" s="28">
        <v>40007778</v>
      </c>
      <c r="E293" s="247" t="s">
        <v>1573</v>
      </c>
      <c r="F293" s="247" t="s">
        <v>1256</v>
      </c>
      <c r="G293" s="229" t="s">
        <v>1237</v>
      </c>
      <c r="H293" s="247" t="s">
        <v>1389</v>
      </c>
      <c r="I293" s="247" t="s">
        <v>72</v>
      </c>
      <c r="J293" s="248">
        <v>96516</v>
      </c>
      <c r="K293" s="248"/>
      <c r="L293" s="248">
        <f t="shared" si="20"/>
        <v>96516</v>
      </c>
      <c r="M293" s="249"/>
      <c r="N293" s="249"/>
      <c r="O293" s="249"/>
      <c r="P293" s="249"/>
      <c r="Q293" s="249"/>
      <c r="R293" s="249"/>
      <c r="S293" s="249"/>
      <c r="T293" s="249"/>
      <c r="U293" s="249"/>
      <c r="V293" s="249"/>
      <c r="W293" s="249"/>
      <c r="X293" s="249"/>
      <c r="Y293" s="249">
        <f t="shared" si="21"/>
        <v>0</v>
      </c>
      <c r="Z293" s="249">
        <v>8200</v>
      </c>
      <c r="AA293" s="249" t="s">
        <v>1295</v>
      </c>
      <c r="AB293" s="250">
        <v>44307</v>
      </c>
      <c r="AC293" s="249"/>
      <c r="AD293" s="249"/>
      <c r="AE293" s="249"/>
      <c r="AF293" s="250"/>
      <c r="AG293" s="250"/>
      <c r="AH293" s="249"/>
      <c r="AI293" s="249"/>
      <c r="AJ293" s="250"/>
      <c r="AK293" s="249"/>
      <c r="AL293" s="249"/>
      <c r="AM293" s="249"/>
      <c r="AN293" s="249"/>
      <c r="AO293" s="249"/>
      <c r="AP293" s="249"/>
      <c r="AQ293" s="249"/>
      <c r="AR293" s="249"/>
      <c r="AS293" s="249"/>
      <c r="AT293" s="249">
        <v>8200</v>
      </c>
      <c r="AU293" s="249">
        <f t="shared" si="22"/>
        <v>8200</v>
      </c>
      <c r="AV293" s="269">
        <f t="shared" si="23"/>
        <v>8200</v>
      </c>
      <c r="AW293" s="269">
        <f t="shared" si="24"/>
        <v>0</v>
      </c>
    </row>
    <row r="294" spans="2:49" s="140" customFormat="1" ht="22.5" x14ac:dyDescent="0.25">
      <c r="B294" s="227">
        <v>279</v>
      </c>
      <c r="C294" s="227" t="s">
        <v>39</v>
      </c>
      <c r="D294" s="28">
        <v>30078506</v>
      </c>
      <c r="E294" s="247" t="s">
        <v>1574</v>
      </c>
      <c r="F294" s="247" t="s">
        <v>1256</v>
      </c>
      <c r="G294" s="229" t="s">
        <v>1237</v>
      </c>
      <c r="H294" s="247" t="s">
        <v>1345</v>
      </c>
      <c r="I294" s="247" t="s">
        <v>57</v>
      </c>
      <c r="J294" s="248">
        <v>147877</v>
      </c>
      <c r="K294" s="248">
        <v>107393</v>
      </c>
      <c r="L294" s="248">
        <f t="shared" si="20"/>
        <v>40484</v>
      </c>
      <c r="M294" s="249"/>
      <c r="N294" s="249"/>
      <c r="O294" s="249"/>
      <c r="P294" s="249"/>
      <c r="Q294" s="249"/>
      <c r="R294" s="249"/>
      <c r="S294" s="249"/>
      <c r="T294" s="249"/>
      <c r="U294" s="249"/>
      <c r="V294" s="249"/>
      <c r="W294" s="249"/>
      <c r="X294" s="249"/>
      <c r="Y294" s="249">
        <f t="shared" si="21"/>
        <v>0</v>
      </c>
      <c r="Z294" s="249">
        <v>36396</v>
      </c>
      <c r="AA294" s="249" t="s">
        <v>1295</v>
      </c>
      <c r="AB294" s="250">
        <v>44307</v>
      </c>
      <c r="AC294" s="249"/>
      <c r="AD294" s="249"/>
      <c r="AE294" s="249"/>
      <c r="AF294" s="250"/>
      <c r="AG294" s="250"/>
      <c r="AH294" s="249"/>
      <c r="AI294" s="249"/>
      <c r="AJ294" s="250"/>
      <c r="AK294" s="249"/>
      <c r="AL294" s="249"/>
      <c r="AM294" s="249"/>
      <c r="AN294" s="249"/>
      <c r="AO294" s="249"/>
      <c r="AP294" s="249"/>
      <c r="AQ294" s="249"/>
      <c r="AR294" s="249"/>
      <c r="AS294" s="249"/>
      <c r="AT294" s="249">
        <v>36396</v>
      </c>
      <c r="AU294" s="249">
        <f t="shared" si="22"/>
        <v>36396</v>
      </c>
      <c r="AV294" s="269">
        <f t="shared" si="23"/>
        <v>36396</v>
      </c>
      <c r="AW294" s="269">
        <f t="shared" si="24"/>
        <v>0</v>
      </c>
    </row>
    <row r="295" spans="2:49" ht="15" customHeight="1" x14ac:dyDescent="0.25">
      <c r="B295" s="534" t="s">
        <v>40</v>
      </c>
      <c r="C295" s="535"/>
      <c r="D295" s="535"/>
      <c r="E295" s="535"/>
      <c r="F295" s="535"/>
      <c r="G295" s="535"/>
      <c r="H295" s="535"/>
      <c r="I295" s="536"/>
      <c r="J295" s="48">
        <f t="shared" ref="J295:AA295" si="25">SUM(J17:J294)</f>
        <v>204303221</v>
      </c>
      <c r="K295" s="48">
        <f t="shared" si="25"/>
        <v>53130257</v>
      </c>
      <c r="L295" s="48">
        <f t="shared" si="25"/>
        <v>151172964</v>
      </c>
      <c r="M295" s="48">
        <f t="shared" si="25"/>
        <v>541129.91</v>
      </c>
      <c r="N295" s="48">
        <f t="shared" si="25"/>
        <v>3543837.4049999998</v>
      </c>
      <c r="O295" s="48">
        <f t="shared" si="25"/>
        <v>1618690.3819999998</v>
      </c>
      <c r="P295" s="48">
        <f t="shared" si="25"/>
        <v>0</v>
      </c>
      <c r="Q295" s="48">
        <f t="shared" si="25"/>
        <v>0</v>
      </c>
      <c r="R295" s="48">
        <f t="shared" si="25"/>
        <v>0</v>
      </c>
      <c r="S295" s="48">
        <f t="shared" si="25"/>
        <v>0</v>
      </c>
      <c r="T295" s="48">
        <f t="shared" si="25"/>
        <v>0</v>
      </c>
      <c r="U295" s="48">
        <f t="shared" si="25"/>
        <v>0</v>
      </c>
      <c r="V295" s="48">
        <f t="shared" si="25"/>
        <v>0</v>
      </c>
      <c r="W295" s="48">
        <f t="shared" si="25"/>
        <v>0</v>
      </c>
      <c r="X295" s="48">
        <f t="shared" si="25"/>
        <v>0</v>
      </c>
      <c r="Y295" s="48">
        <f t="shared" si="25"/>
        <v>5703657.6970000006</v>
      </c>
      <c r="Z295" s="48">
        <f t="shared" si="25"/>
        <v>45092423</v>
      </c>
      <c r="AA295" s="48">
        <f t="shared" si="25"/>
        <v>0</v>
      </c>
      <c r="AB295" s="48"/>
      <c r="AC295" s="48"/>
      <c r="AD295" s="48">
        <f>SUM(AD17:AD294)</f>
        <v>-2813439</v>
      </c>
      <c r="AE295" s="48">
        <f t="shared" ref="AE295:AU295" si="26">SUM(AE17:AE294)</f>
        <v>0</v>
      </c>
      <c r="AF295" s="48"/>
      <c r="AG295" s="48"/>
      <c r="AH295" s="48">
        <f t="shared" ref="AH295" si="27">SUM(AH17:AH294)</f>
        <v>73954</v>
      </c>
      <c r="AI295" s="48">
        <f t="shared" si="26"/>
        <v>0</v>
      </c>
      <c r="AJ295" s="48"/>
      <c r="AK295" s="48">
        <f t="shared" si="26"/>
        <v>0</v>
      </c>
      <c r="AL295" s="48">
        <f t="shared" si="26"/>
        <v>0</v>
      </c>
      <c r="AM295" s="48">
        <f t="shared" si="26"/>
        <v>0</v>
      </c>
      <c r="AN295" s="48">
        <f t="shared" si="26"/>
        <v>0</v>
      </c>
      <c r="AO295" s="48">
        <f t="shared" si="26"/>
        <v>0</v>
      </c>
      <c r="AP295" s="48">
        <f t="shared" si="26"/>
        <v>0</v>
      </c>
      <c r="AQ295" s="48">
        <f t="shared" si="26"/>
        <v>0</v>
      </c>
      <c r="AR295" s="48">
        <f t="shared" si="26"/>
        <v>0</v>
      </c>
      <c r="AS295" s="48">
        <f t="shared" si="26"/>
        <v>0</v>
      </c>
      <c r="AT295" s="48">
        <f t="shared" si="26"/>
        <v>42352938</v>
      </c>
      <c r="AU295" s="48">
        <f t="shared" si="26"/>
        <v>36649280.303000011</v>
      </c>
    </row>
    <row r="296" spans="2:49" x14ac:dyDescent="0.2">
      <c r="B296" s="543"/>
      <c r="C296" s="543"/>
      <c r="D296" s="543"/>
      <c r="E296" s="543"/>
      <c r="F296" s="255"/>
      <c r="G296" s="174"/>
      <c r="H296" s="174"/>
    </row>
    <row r="297" spans="2:49" hidden="1" x14ac:dyDescent="0.2">
      <c r="B297" s="544" t="s">
        <v>41</v>
      </c>
      <c r="C297" s="544"/>
      <c r="D297" s="544"/>
      <c r="E297" s="544"/>
      <c r="F297" s="544"/>
      <c r="G297" s="544"/>
      <c r="H297" s="544"/>
      <c r="I297" s="544"/>
      <c r="J297" s="544"/>
      <c r="K297" s="544"/>
      <c r="L297" s="544"/>
      <c r="M297" s="544"/>
      <c r="N297" s="544"/>
      <c r="O297" s="544"/>
      <c r="P297" s="544"/>
      <c r="Q297" s="544"/>
      <c r="R297" s="544"/>
      <c r="S297" s="544"/>
      <c r="T297" s="544"/>
      <c r="U297" s="544"/>
      <c r="V297" s="544"/>
      <c r="W297" s="544"/>
      <c r="X297" s="544"/>
      <c r="Y297" s="544"/>
      <c r="Z297" s="544"/>
      <c r="AA297" s="544"/>
      <c r="AB297" s="544"/>
      <c r="AC297" s="544"/>
      <c r="AD297" s="257"/>
      <c r="AE297" s="258"/>
      <c r="AF297" s="259"/>
      <c r="AG297" s="259"/>
      <c r="AH297" s="257"/>
      <c r="AI297" s="260"/>
      <c r="AJ297" s="259"/>
      <c r="AK297" s="257"/>
      <c r="AL297" s="257"/>
      <c r="AM297" s="260"/>
      <c r="AN297" s="257"/>
      <c r="AO297" s="261">
        <f>Z295+AD295+AH295</f>
        <v>42352938</v>
      </c>
      <c r="AP297" s="257"/>
      <c r="AQ297" s="260"/>
      <c r="AR297" s="257"/>
      <c r="AS297" s="257"/>
      <c r="AT297" s="262">
        <f>Y295</f>
        <v>5703657.6970000006</v>
      </c>
      <c r="AU297" s="262">
        <f>AT295-AT297</f>
        <v>36649280.303000003</v>
      </c>
    </row>
    <row r="299" spans="2:49" x14ac:dyDescent="0.2">
      <c r="AT299" s="171"/>
      <c r="AU299" s="262">
        <f>AU295-AU297</f>
        <v>0</v>
      </c>
    </row>
    <row r="300" spans="2:49" x14ac:dyDescent="0.2">
      <c r="AT300" s="171"/>
    </row>
  </sheetData>
  <mergeCells count="17">
    <mergeCell ref="AP15:AS15"/>
    <mergeCell ref="AT15:AU15"/>
    <mergeCell ref="B295:I295"/>
    <mergeCell ref="B296:E296"/>
    <mergeCell ref="B297:AC297"/>
    <mergeCell ref="AL15:AO15"/>
    <mergeCell ref="B9:AC10"/>
    <mergeCell ref="B11:AC11"/>
    <mergeCell ref="Z15:AC15"/>
    <mergeCell ref="AD15:AG15"/>
    <mergeCell ref="AH15:AK15"/>
    <mergeCell ref="B8:AC8"/>
    <mergeCell ref="B1:AC2"/>
    <mergeCell ref="B3:AC4"/>
    <mergeCell ref="B5:AC5"/>
    <mergeCell ref="B6:AC6"/>
    <mergeCell ref="B7:AC7"/>
  </mergeCells>
  <conditionalFormatting sqref="J17:AS17">
    <cfRule type="duplicateValues" dxfId="49" priority="1"/>
  </conditionalFormatting>
  <conditionalFormatting sqref="D17:D93 D217:D294">
    <cfRule type="duplicateValues" dxfId="48" priority="2"/>
  </conditionalFormatting>
  <conditionalFormatting sqref="M17">
    <cfRule type="duplicateValues" dxfId="47" priority="3"/>
  </conditionalFormatting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130"/>
  <sheetViews>
    <sheetView showGridLines="0" topLeftCell="A12" zoomScaleNormal="100" workbookViewId="0">
      <pane xSplit="5" ySplit="4" topLeftCell="F16" activePane="bottomRight" state="frozen"/>
      <selection activeCell="A12" sqref="A12"/>
      <selection pane="topRight" activeCell="F12" sqref="F12"/>
      <selection pane="bottomLeft" activeCell="A16" sqref="A16"/>
      <selection pane="bottomRight" activeCell="L15" sqref="L15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9" width="9.7109375" style="4" customWidth="1"/>
    <col min="10" max="10" width="11.28515625" style="4" customWidth="1"/>
    <col min="11" max="25" width="12" style="4" customWidth="1"/>
    <col min="26" max="26" width="10.140625" style="4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148"/>
      <c r="AE1" s="2"/>
      <c r="AF1" s="148"/>
      <c r="AG1" s="148"/>
      <c r="AH1" s="148"/>
      <c r="AI1" s="3"/>
      <c r="AJ1" s="148"/>
      <c r="AK1" s="148"/>
      <c r="AL1" s="148"/>
      <c r="AM1" s="3"/>
      <c r="AN1" s="148"/>
      <c r="AO1" s="148"/>
      <c r="AP1" s="148"/>
      <c r="AQ1" s="3"/>
      <c r="AR1" s="148"/>
      <c r="AS1" s="148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148"/>
      <c r="AE2" s="2"/>
      <c r="AF2" s="148"/>
      <c r="AG2" s="148"/>
      <c r="AH2" s="148"/>
      <c r="AI2" s="3"/>
      <c r="AJ2" s="148"/>
      <c r="AK2" s="148"/>
      <c r="AL2" s="148"/>
      <c r="AM2" s="3"/>
      <c r="AN2" s="148"/>
      <c r="AO2" s="148"/>
      <c r="AP2" s="148"/>
      <c r="AQ2" s="3"/>
      <c r="AR2" s="148"/>
      <c r="AS2" s="148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147"/>
      <c r="AE3" s="6"/>
      <c r="AF3" s="147"/>
      <c r="AG3" s="147"/>
      <c r="AH3" s="147"/>
      <c r="AI3" s="7"/>
      <c r="AJ3" s="147"/>
      <c r="AK3" s="147"/>
      <c r="AL3" s="147"/>
      <c r="AM3" s="7"/>
      <c r="AN3" s="147"/>
      <c r="AO3" s="147"/>
      <c r="AP3" s="147"/>
      <c r="AQ3" s="7"/>
      <c r="AR3" s="147"/>
      <c r="AS3" s="147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147"/>
      <c r="AE4" s="6"/>
      <c r="AF4" s="147"/>
      <c r="AG4" s="147"/>
      <c r="AH4" s="147"/>
      <c r="AI4" s="7"/>
      <c r="AJ4" s="147"/>
      <c r="AK4" s="147"/>
      <c r="AL4" s="147"/>
      <c r="AM4" s="7"/>
      <c r="AN4" s="147"/>
      <c r="AO4" s="147"/>
      <c r="AP4" s="147"/>
      <c r="AQ4" s="7"/>
      <c r="AR4" s="147"/>
      <c r="AS4" s="147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147"/>
      <c r="AE5" s="6"/>
      <c r="AF5" s="147"/>
      <c r="AG5" s="147"/>
      <c r="AH5" s="147"/>
      <c r="AI5" s="7"/>
      <c r="AJ5" s="147"/>
      <c r="AK5" s="147"/>
      <c r="AL5" s="147"/>
      <c r="AM5" s="7"/>
      <c r="AN5" s="147"/>
      <c r="AO5" s="147"/>
      <c r="AP5" s="147"/>
      <c r="AQ5" s="7"/>
      <c r="AR5" s="147"/>
      <c r="AS5" s="147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147"/>
      <c r="AE6" s="6"/>
      <c r="AF6" s="147"/>
      <c r="AG6" s="147"/>
      <c r="AH6" s="147"/>
      <c r="AI6" s="7"/>
      <c r="AJ6" s="147"/>
      <c r="AK6" s="147"/>
      <c r="AL6" s="147"/>
      <c r="AM6" s="7"/>
      <c r="AN6" s="147"/>
      <c r="AO6" s="147"/>
      <c r="AP6" s="147"/>
      <c r="AQ6" s="7"/>
      <c r="AR6" s="147"/>
      <c r="AS6" s="147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147"/>
      <c r="AE7" s="6"/>
      <c r="AF7" s="147"/>
      <c r="AG7" s="147"/>
      <c r="AH7" s="147"/>
      <c r="AI7" s="7"/>
      <c r="AJ7" s="147"/>
      <c r="AK7" s="147"/>
      <c r="AL7" s="147"/>
      <c r="AM7" s="7"/>
      <c r="AN7" s="147"/>
      <c r="AO7" s="147"/>
      <c r="AP7" s="147"/>
      <c r="AQ7" s="7"/>
      <c r="AR7" s="147"/>
      <c r="AS7" s="147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147"/>
      <c r="AE8" s="6"/>
      <c r="AF8" s="147"/>
      <c r="AG8" s="147"/>
      <c r="AH8" s="147"/>
      <c r="AI8" s="7"/>
      <c r="AJ8" s="147"/>
      <c r="AK8" s="147"/>
      <c r="AL8" s="147"/>
      <c r="AM8" s="7"/>
      <c r="AN8" s="147"/>
      <c r="AO8" s="147"/>
      <c r="AP8" s="147"/>
      <c r="AQ8" s="7"/>
      <c r="AR8" s="147"/>
      <c r="AS8" s="147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147"/>
      <c r="AE9" s="6"/>
      <c r="AF9" s="147"/>
      <c r="AG9" s="147"/>
      <c r="AH9" s="147"/>
      <c r="AI9" s="7"/>
      <c r="AJ9" s="147"/>
      <c r="AK9" s="147"/>
      <c r="AL9" s="147"/>
      <c r="AM9" s="7"/>
      <c r="AN9" s="147"/>
      <c r="AO9" s="147"/>
      <c r="AP9" s="147"/>
      <c r="AQ9" s="7"/>
      <c r="AR9" s="147"/>
      <c r="AS9" s="147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</row>
    <row r="12" spans="2:47" ht="33" customHeight="1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</row>
    <row r="13" spans="2:47" ht="18.75" x14ac:dyDescent="0.2">
      <c r="B13" s="15">
        <v>30425612</v>
      </c>
      <c r="C13" s="15">
        <v>30425612</v>
      </c>
      <c r="D13" s="15">
        <v>30425612</v>
      </c>
      <c r="E13" s="15">
        <f>+Y123</f>
        <v>8869172.5780000016</v>
      </c>
      <c r="F13" s="84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</row>
    <row r="14" spans="2:47" ht="15" customHeight="1" x14ac:dyDescent="0.2">
      <c r="C14" s="17"/>
      <c r="D14" s="18"/>
      <c r="E14" s="17"/>
      <c r="F14" s="17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24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</row>
    <row r="16" spans="2:47" s="26" customFormat="1" ht="22.5" x14ac:dyDescent="0.25">
      <c r="B16" s="27">
        <v>1</v>
      </c>
      <c r="C16" s="27" t="s">
        <v>42</v>
      </c>
      <c r="D16" s="28">
        <v>30125606</v>
      </c>
      <c r="E16" s="29" t="s">
        <v>725</v>
      </c>
      <c r="F16" s="29" t="s">
        <v>54</v>
      </c>
      <c r="G16" s="30" t="s">
        <v>602</v>
      </c>
      <c r="H16" s="30" t="s">
        <v>633</v>
      </c>
      <c r="I16" s="88" t="s">
        <v>57</v>
      </c>
      <c r="J16" s="31">
        <v>41497</v>
      </c>
      <c r="K16" s="31">
        <v>34497</v>
      </c>
      <c r="L16" s="31">
        <v>0</v>
      </c>
      <c r="M16" s="31">
        <v>0</v>
      </c>
      <c r="N16" s="31">
        <v>0</v>
      </c>
      <c r="O16" s="31">
        <v>0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 t="shared" ref="Y16:Y47" si="0">SUM(M16:X16)</f>
        <v>0</v>
      </c>
      <c r="Z16" s="32">
        <v>7000</v>
      </c>
      <c r="AA16" s="33">
        <v>2</v>
      </c>
      <c r="AB16" s="41">
        <v>44209</v>
      </c>
      <c r="AC16" s="89">
        <v>44249</v>
      </c>
      <c r="AD16" s="32"/>
      <c r="AE16" s="35"/>
      <c r="AF16" s="34"/>
      <c r="AG16" s="89"/>
      <c r="AH16" s="32"/>
      <c r="AI16" s="33"/>
      <c r="AJ16" s="36"/>
      <c r="AK16" s="89"/>
      <c r="AL16" s="32"/>
      <c r="AM16" s="33"/>
      <c r="AN16" s="36"/>
      <c r="AO16" s="89"/>
      <c r="AP16" s="32"/>
      <c r="AQ16" s="33"/>
      <c r="AR16" s="36"/>
      <c r="AS16" s="89"/>
      <c r="AT16" s="37">
        <f t="shared" ref="AT16:AT47" si="1">+Z16+AD16+AH16+AL16+AP16</f>
        <v>7000</v>
      </c>
      <c r="AU16" s="38">
        <f t="shared" ref="AU16:AU47" si="2">+AT16-Y16</f>
        <v>7000</v>
      </c>
    </row>
    <row r="17" spans="2:47" s="26" customFormat="1" ht="22.5" x14ac:dyDescent="0.25">
      <c r="B17" s="27">
        <v>2</v>
      </c>
      <c r="C17" s="27" t="s">
        <v>42</v>
      </c>
      <c r="D17" s="28">
        <v>40013851</v>
      </c>
      <c r="E17" s="29" t="s">
        <v>724</v>
      </c>
      <c r="F17" s="29" t="s">
        <v>54</v>
      </c>
      <c r="G17" s="30" t="s">
        <v>602</v>
      </c>
      <c r="H17" s="30" t="s">
        <v>62</v>
      </c>
      <c r="I17" s="88" t="s">
        <v>72</v>
      </c>
      <c r="J17" s="31">
        <v>241500</v>
      </c>
      <c r="K17" s="31">
        <v>0</v>
      </c>
      <c r="L17" s="31">
        <v>65775</v>
      </c>
      <c r="M17" s="31">
        <v>0</v>
      </c>
      <c r="N17" s="31">
        <v>0</v>
      </c>
      <c r="O17" s="31">
        <v>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si="0"/>
        <v>0</v>
      </c>
      <c r="Z17" s="32">
        <v>1</v>
      </c>
      <c r="AA17" s="33">
        <v>2</v>
      </c>
      <c r="AB17" s="41">
        <v>44209</v>
      </c>
      <c r="AC17" s="89">
        <v>44249</v>
      </c>
      <c r="AD17" s="32"/>
      <c r="AE17" s="35"/>
      <c r="AF17" s="36"/>
      <c r="AG17" s="89"/>
      <c r="AH17" s="32"/>
      <c r="AI17" s="33"/>
      <c r="AJ17" s="36"/>
      <c r="AK17" s="89"/>
      <c r="AL17" s="32"/>
      <c r="AM17" s="33"/>
      <c r="AN17" s="36"/>
      <c r="AO17" s="89"/>
      <c r="AP17" s="32"/>
      <c r="AQ17" s="33"/>
      <c r="AR17" s="36"/>
      <c r="AS17" s="89"/>
      <c r="AT17" s="37">
        <f t="shared" si="1"/>
        <v>1</v>
      </c>
      <c r="AU17" s="38">
        <f t="shared" si="2"/>
        <v>1</v>
      </c>
    </row>
    <row r="18" spans="2:47" s="26" customFormat="1" ht="22.5" x14ac:dyDescent="0.25">
      <c r="B18" s="27">
        <v>3</v>
      </c>
      <c r="C18" s="27" t="s">
        <v>39</v>
      </c>
      <c r="D18" s="28">
        <v>30062671</v>
      </c>
      <c r="E18" s="29" t="s">
        <v>723</v>
      </c>
      <c r="F18" s="29" t="s">
        <v>603</v>
      </c>
      <c r="G18" s="30" t="s">
        <v>602</v>
      </c>
      <c r="H18" s="30" t="s">
        <v>628</v>
      </c>
      <c r="I18" s="88" t="s">
        <v>57</v>
      </c>
      <c r="J18" s="31">
        <v>1777543</v>
      </c>
      <c r="K18" s="31">
        <v>1761742</v>
      </c>
      <c r="L18" s="31">
        <v>0</v>
      </c>
      <c r="M18" s="160">
        <v>5078.34</v>
      </c>
      <c r="N18" s="160">
        <v>9407.2279999999992</v>
      </c>
      <c r="O18" s="31">
        <v>0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0"/>
        <v>14485.567999999999</v>
      </c>
      <c r="Z18" s="32">
        <v>16156</v>
      </c>
      <c r="AA18" s="39">
        <v>1</v>
      </c>
      <c r="AB18" s="34">
        <v>44201</v>
      </c>
      <c r="AC18" s="90">
        <v>44229</v>
      </c>
      <c r="AD18" s="161"/>
      <c r="AE18" s="40"/>
      <c r="AF18" s="34"/>
      <c r="AG18" s="90"/>
      <c r="AH18" s="161"/>
      <c r="AI18" s="39"/>
      <c r="AJ18" s="34"/>
      <c r="AK18" s="90"/>
      <c r="AL18" s="161"/>
      <c r="AM18" s="39"/>
      <c r="AN18" s="34"/>
      <c r="AO18" s="89"/>
      <c r="AP18" s="161"/>
      <c r="AQ18" s="33"/>
      <c r="AR18" s="41"/>
      <c r="AS18" s="89"/>
      <c r="AT18" s="37">
        <f t="shared" si="1"/>
        <v>16156</v>
      </c>
      <c r="AU18" s="38">
        <f t="shared" si="2"/>
        <v>1670.4320000000007</v>
      </c>
    </row>
    <row r="19" spans="2:47" s="26" customFormat="1" ht="22.5" x14ac:dyDescent="0.25">
      <c r="B19" s="27">
        <v>4</v>
      </c>
      <c r="C19" s="27" t="s">
        <v>39</v>
      </c>
      <c r="D19" s="28">
        <v>30110114</v>
      </c>
      <c r="E19" s="29" t="s">
        <v>722</v>
      </c>
      <c r="F19" s="29" t="s">
        <v>603</v>
      </c>
      <c r="G19" s="30" t="s">
        <v>602</v>
      </c>
      <c r="H19" s="30" t="s">
        <v>721</v>
      </c>
      <c r="I19" s="88" t="s">
        <v>57</v>
      </c>
      <c r="J19" s="31">
        <v>573836</v>
      </c>
      <c r="K19" s="31">
        <v>573264</v>
      </c>
      <c r="L19" s="31">
        <v>1</v>
      </c>
      <c r="M19" s="160">
        <v>556.53099999999995</v>
      </c>
      <c r="N19" s="160">
        <v>0</v>
      </c>
      <c r="O19" s="31">
        <v>0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0"/>
        <v>556.53099999999995</v>
      </c>
      <c r="Z19" s="32">
        <v>570</v>
      </c>
      <c r="AA19" s="39">
        <v>1</v>
      </c>
      <c r="AB19" s="34">
        <v>44201</v>
      </c>
      <c r="AC19" s="90">
        <v>44229</v>
      </c>
      <c r="AD19" s="32"/>
      <c r="AE19" s="40"/>
      <c r="AF19" s="34"/>
      <c r="AG19" s="90"/>
      <c r="AH19" s="92"/>
      <c r="AI19" s="39"/>
      <c r="AJ19" s="34"/>
      <c r="AK19" s="90"/>
      <c r="AL19" s="92"/>
      <c r="AM19" s="39"/>
      <c r="AN19" s="34"/>
      <c r="AO19" s="89"/>
      <c r="AP19" s="92"/>
      <c r="AQ19" s="33"/>
      <c r="AR19" s="41"/>
      <c r="AS19" s="89"/>
      <c r="AT19" s="37">
        <f t="shared" si="1"/>
        <v>570</v>
      </c>
      <c r="AU19" s="38">
        <f t="shared" si="2"/>
        <v>13.469000000000051</v>
      </c>
    </row>
    <row r="20" spans="2:47" s="26" customFormat="1" ht="22.5" x14ac:dyDescent="0.25">
      <c r="B20" s="27">
        <v>5</v>
      </c>
      <c r="C20" s="27" t="s">
        <v>39</v>
      </c>
      <c r="D20" s="28">
        <v>30110282</v>
      </c>
      <c r="E20" s="29" t="s">
        <v>720</v>
      </c>
      <c r="F20" s="29" t="s">
        <v>603</v>
      </c>
      <c r="G20" s="30" t="s">
        <v>602</v>
      </c>
      <c r="H20" s="30" t="s">
        <v>622</v>
      </c>
      <c r="I20" s="88" t="s">
        <v>57</v>
      </c>
      <c r="J20" s="31">
        <v>1534732</v>
      </c>
      <c r="K20" s="31">
        <v>1259453</v>
      </c>
      <c r="L20" s="31">
        <v>1</v>
      </c>
      <c r="M20" s="160">
        <v>336.29399999999998</v>
      </c>
      <c r="N20" s="160">
        <v>0</v>
      </c>
      <c r="O20" s="31">
        <v>0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0"/>
        <v>336.29399999999998</v>
      </c>
      <c r="Z20" s="32">
        <v>14507</v>
      </c>
      <c r="AA20" s="39">
        <v>1</v>
      </c>
      <c r="AB20" s="34">
        <v>44201</v>
      </c>
      <c r="AC20" s="90">
        <v>44229</v>
      </c>
      <c r="AD20" s="32"/>
      <c r="AE20" s="40"/>
      <c r="AF20" s="34"/>
      <c r="AG20" s="90"/>
      <c r="AH20" s="92"/>
      <c r="AI20" s="39"/>
      <c r="AJ20" s="34"/>
      <c r="AK20" s="90"/>
      <c r="AL20" s="92"/>
      <c r="AM20" s="39"/>
      <c r="AN20" s="34"/>
      <c r="AO20" s="89"/>
      <c r="AP20" s="92"/>
      <c r="AQ20" s="33"/>
      <c r="AR20" s="41"/>
      <c r="AS20" s="89"/>
      <c r="AT20" s="37">
        <f t="shared" si="1"/>
        <v>14507</v>
      </c>
      <c r="AU20" s="38">
        <f t="shared" si="2"/>
        <v>14170.706</v>
      </c>
    </row>
    <row r="21" spans="2:47" s="26" customFormat="1" ht="22.5" x14ac:dyDescent="0.25">
      <c r="B21" s="27">
        <v>6</v>
      </c>
      <c r="C21" s="27" t="s">
        <v>39</v>
      </c>
      <c r="D21" s="28">
        <v>30123681</v>
      </c>
      <c r="E21" s="29" t="s">
        <v>719</v>
      </c>
      <c r="F21" s="29" t="s">
        <v>603</v>
      </c>
      <c r="G21" s="30" t="s">
        <v>602</v>
      </c>
      <c r="H21" s="30" t="s">
        <v>633</v>
      </c>
      <c r="I21" s="88" t="s">
        <v>57</v>
      </c>
      <c r="J21" s="31">
        <v>685600</v>
      </c>
      <c r="K21" s="31">
        <v>475180</v>
      </c>
      <c r="L21" s="31">
        <v>0</v>
      </c>
      <c r="M21" s="160">
        <v>0</v>
      </c>
      <c r="N21" s="160">
        <v>0</v>
      </c>
      <c r="O21" s="31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0"/>
        <v>0</v>
      </c>
      <c r="Z21" s="32">
        <v>210420</v>
      </c>
      <c r="AA21" s="33">
        <v>1</v>
      </c>
      <c r="AB21" s="34">
        <v>44201</v>
      </c>
      <c r="AC21" s="90">
        <v>44229</v>
      </c>
      <c r="AD21" s="32"/>
      <c r="AE21" s="35"/>
      <c r="AF21" s="41"/>
      <c r="AG21" s="89"/>
      <c r="AH21" s="92"/>
      <c r="AI21" s="33"/>
      <c r="AJ21" s="41"/>
      <c r="AK21" s="89"/>
      <c r="AL21" s="92"/>
      <c r="AM21" s="33"/>
      <c r="AN21" s="41"/>
      <c r="AO21" s="89"/>
      <c r="AP21" s="92"/>
      <c r="AQ21" s="33"/>
      <c r="AR21" s="41"/>
      <c r="AS21" s="89"/>
      <c r="AT21" s="37">
        <f t="shared" si="1"/>
        <v>210420</v>
      </c>
      <c r="AU21" s="38">
        <f t="shared" si="2"/>
        <v>210420</v>
      </c>
    </row>
    <row r="22" spans="2:47" s="26" customFormat="1" ht="22.5" x14ac:dyDescent="0.25">
      <c r="B22" s="27">
        <v>7</v>
      </c>
      <c r="C22" s="27" t="s">
        <v>39</v>
      </c>
      <c r="D22" s="28">
        <v>30132810</v>
      </c>
      <c r="E22" s="29" t="s">
        <v>718</v>
      </c>
      <c r="F22" s="29" t="s">
        <v>60</v>
      </c>
      <c r="G22" s="30" t="s">
        <v>602</v>
      </c>
      <c r="H22" s="30" t="s">
        <v>605</v>
      </c>
      <c r="I22" s="88" t="s">
        <v>57</v>
      </c>
      <c r="J22" s="31">
        <v>251889</v>
      </c>
      <c r="K22" s="31">
        <v>101385</v>
      </c>
      <c r="L22" s="31">
        <v>0</v>
      </c>
      <c r="M22" s="160">
        <v>49063.89</v>
      </c>
      <c r="N22" s="160">
        <v>0</v>
      </c>
      <c r="O22" s="31">
        <v>0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0"/>
        <v>49063.89</v>
      </c>
      <c r="Z22" s="32">
        <v>150504</v>
      </c>
      <c r="AA22" s="33">
        <v>1</v>
      </c>
      <c r="AB22" s="34">
        <v>44201</v>
      </c>
      <c r="AC22" s="90">
        <v>44229</v>
      </c>
      <c r="AD22" s="32"/>
      <c r="AE22" s="35"/>
      <c r="AF22" s="36"/>
      <c r="AG22" s="89"/>
      <c r="AH22" s="32"/>
      <c r="AI22" s="33"/>
      <c r="AJ22" s="36"/>
      <c r="AK22" s="89"/>
      <c r="AL22" s="32"/>
      <c r="AM22" s="33"/>
      <c r="AN22" s="36"/>
      <c r="AO22" s="89"/>
      <c r="AP22" s="32"/>
      <c r="AQ22" s="33"/>
      <c r="AR22" s="36"/>
      <c r="AS22" s="89"/>
      <c r="AT22" s="37">
        <f t="shared" si="1"/>
        <v>150504</v>
      </c>
      <c r="AU22" s="38">
        <f t="shared" si="2"/>
        <v>101440.11</v>
      </c>
    </row>
    <row r="23" spans="2:47" s="26" customFormat="1" ht="22.5" x14ac:dyDescent="0.25">
      <c r="B23" s="27">
        <v>8</v>
      </c>
      <c r="C23" s="27" t="s">
        <v>39</v>
      </c>
      <c r="D23" s="28">
        <v>30134179</v>
      </c>
      <c r="E23" s="29" t="s">
        <v>717</v>
      </c>
      <c r="F23" s="29" t="s">
        <v>603</v>
      </c>
      <c r="G23" s="30" t="s">
        <v>602</v>
      </c>
      <c r="H23" s="42" t="s">
        <v>605</v>
      </c>
      <c r="I23" s="88" t="s">
        <v>57</v>
      </c>
      <c r="J23" s="31">
        <v>4306344</v>
      </c>
      <c r="K23" s="31">
        <v>3716715</v>
      </c>
      <c r="L23" s="31">
        <v>0</v>
      </c>
      <c r="M23" s="160">
        <v>375112.84399999998</v>
      </c>
      <c r="N23" s="160">
        <v>0</v>
      </c>
      <c r="O23" s="31">
        <v>0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0"/>
        <v>375112.84399999998</v>
      </c>
      <c r="Z23" s="32">
        <v>589629</v>
      </c>
      <c r="AA23" s="33">
        <v>1</v>
      </c>
      <c r="AB23" s="34">
        <v>44201</v>
      </c>
      <c r="AC23" s="90">
        <v>44229</v>
      </c>
      <c r="AD23" s="32"/>
      <c r="AE23" s="35"/>
      <c r="AF23" s="36"/>
      <c r="AG23" s="89"/>
      <c r="AH23" s="32"/>
      <c r="AI23" s="33"/>
      <c r="AJ23" s="36"/>
      <c r="AK23" s="89"/>
      <c r="AL23" s="32"/>
      <c r="AM23" s="33"/>
      <c r="AN23" s="36"/>
      <c r="AO23" s="89"/>
      <c r="AP23" s="32"/>
      <c r="AQ23" s="33"/>
      <c r="AR23" s="36"/>
      <c r="AS23" s="89"/>
      <c r="AT23" s="37">
        <f t="shared" si="1"/>
        <v>589629</v>
      </c>
      <c r="AU23" s="38">
        <f t="shared" si="2"/>
        <v>214516.15600000002</v>
      </c>
    </row>
    <row r="24" spans="2:47" s="26" customFormat="1" ht="23.25" customHeight="1" x14ac:dyDescent="0.25">
      <c r="B24" s="27">
        <v>9</v>
      </c>
      <c r="C24" s="27" t="s">
        <v>39</v>
      </c>
      <c r="D24" s="28">
        <v>30352123</v>
      </c>
      <c r="E24" s="29" t="s">
        <v>716</v>
      </c>
      <c r="F24" s="29" t="s">
        <v>603</v>
      </c>
      <c r="G24" s="30" t="s">
        <v>602</v>
      </c>
      <c r="H24" s="42" t="s">
        <v>631</v>
      </c>
      <c r="I24" s="88" t="s">
        <v>57</v>
      </c>
      <c r="J24" s="31">
        <v>1284130</v>
      </c>
      <c r="K24" s="31">
        <v>902622</v>
      </c>
      <c r="L24" s="31">
        <v>0</v>
      </c>
      <c r="M24" s="160">
        <v>143017.95699999999</v>
      </c>
      <c r="N24" s="160">
        <v>32782.601000000002</v>
      </c>
      <c r="O24" s="31">
        <v>0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0"/>
        <v>175800.55799999999</v>
      </c>
      <c r="Z24" s="32">
        <v>515487</v>
      </c>
      <c r="AA24" s="33">
        <v>1</v>
      </c>
      <c r="AB24" s="34">
        <v>44201</v>
      </c>
      <c r="AC24" s="90">
        <v>44229</v>
      </c>
      <c r="AD24" s="32"/>
      <c r="AE24" s="35"/>
      <c r="AF24" s="36"/>
      <c r="AG24" s="89"/>
      <c r="AH24" s="32"/>
      <c r="AI24" s="33"/>
      <c r="AJ24" s="36"/>
      <c r="AK24" s="89"/>
      <c r="AL24" s="32"/>
      <c r="AM24" s="33"/>
      <c r="AN24" s="36"/>
      <c r="AO24" s="89"/>
      <c r="AP24" s="32"/>
      <c r="AQ24" s="33"/>
      <c r="AR24" s="36"/>
      <c r="AS24" s="89"/>
      <c r="AT24" s="37">
        <f t="shared" si="1"/>
        <v>515487</v>
      </c>
      <c r="AU24" s="38">
        <f t="shared" si="2"/>
        <v>339686.44200000004</v>
      </c>
    </row>
    <row r="25" spans="2:47" s="26" customFormat="1" ht="22.5" x14ac:dyDescent="0.25">
      <c r="B25" s="27">
        <v>10</v>
      </c>
      <c r="C25" s="27" t="s">
        <v>39</v>
      </c>
      <c r="D25" s="28">
        <v>30374724</v>
      </c>
      <c r="E25" s="29" t="s">
        <v>715</v>
      </c>
      <c r="F25" s="29" t="s">
        <v>603</v>
      </c>
      <c r="G25" s="30" t="s">
        <v>602</v>
      </c>
      <c r="H25" s="42" t="s">
        <v>628</v>
      </c>
      <c r="I25" s="88" t="s">
        <v>57</v>
      </c>
      <c r="J25" s="31">
        <v>2270852</v>
      </c>
      <c r="K25" s="31">
        <v>628864</v>
      </c>
      <c r="L25" s="31">
        <v>2</v>
      </c>
      <c r="M25" s="160">
        <v>669365.99300000002</v>
      </c>
      <c r="N25" s="160">
        <v>14000</v>
      </c>
      <c r="O25" s="31">
        <v>525303.6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0"/>
        <v>1208669.5929999999</v>
      </c>
      <c r="Z25" s="32">
        <v>1641440</v>
      </c>
      <c r="AA25" s="33">
        <v>1</v>
      </c>
      <c r="AB25" s="34">
        <v>44201</v>
      </c>
      <c r="AC25" s="90">
        <v>44229</v>
      </c>
      <c r="AD25" s="32"/>
      <c r="AE25" s="35"/>
      <c r="AF25" s="36"/>
      <c r="AG25" s="89"/>
      <c r="AH25" s="32"/>
      <c r="AI25" s="33"/>
      <c r="AJ25" s="36"/>
      <c r="AK25" s="89"/>
      <c r="AL25" s="32"/>
      <c r="AM25" s="33"/>
      <c r="AN25" s="36"/>
      <c r="AO25" s="89"/>
      <c r="AP25" s="32"/>
      <c r="AQ25" s="33"/>
      <c r="AR25" s="36"/>
      <c r="AS25" s="89"/>
      <c r="AT25" s="37">
        <f t="shared" si="1"/>
        <v>1641440</v>
      </c>
      <c r="AU25" s="38">
        <f t="shared" si="2"/>
        <v>432770.40700000012</v>
      </c>
    </row>
    <row r="26" spans="2:47" s="26" customFormat="1" ht="22.5" x14ac:dyDescent="0.25">
      <c r="B26" s="27">
        <v>11</v>
      </c>
      <c r="C26" s="27" t="s">
        <v>39</v>
      </c>
      <c r="D26" s="28">
        <v>30388625</v>
      </c>
      <c r="E26" s="29" t="s">
        <v>714</v>
      </c>
      <c r="F26" s="29" t="s">
        <v>603</v>
      </c>
      <c r="G26" s="30" t="s">
        <v>602</v>
      </c>
      <c r="H26" s="42" t="s">
        <v>601</v>
      </c>
      <c r="I26" s="88" t="s">
        <v>57</v>
      </c>
      <c r="J26" s="31">
        <v>541101</v>
      </c>
      <c r="K26" s="31">
        <v>488324</v>
      </c>
      <c r="L26" s="31">
        <v>75</v>
      </c>
      <c r="M26" s="160">
        <v>40227.160000000003</v>
      </c>
      <c r="N26" s="160">
        <v>0</v>
      </c>
      <c r="O26" s="31">
        <v>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0"/>
        <v>40227.160000000003</v>
      </c>
      <c r="Z26" s="32">
        <v>53607</v>
      </c>
      <c r="AA26" s="33">
        <v>1</v>
      </c>
      <c r="AB26" s="34">
        <v>44201</v>
      </c>
      <c r="AC26" s="90">
        <v>44229</v>
      </c>
      <c r="AD26" s="32"/>
      <c r="AE26" s="35"/>
      <c r="AF26" s="36"/>
      <c r="AG26" s="89"/>
      <c r="AH26" s="32"/>
      <c r="AI26" s="33"/>
      <c r="AJ26" s="36"/>
      <c r="AK26" s="89"/>
      <c r="AL26" s="32"/>
      <c r="AM26" s="33"/>
      <c r="AN26" s="36"/>
      <c r="AO26" s="89"/>
      <c r="AP26" s="32"/>
      <c r="AQ26" s="33"/>
      <c r="AR26" s="36"/>
      <c r="AS26" s="89"/>
      <c r="AT26" s="37">
        <f t="shared" si="1"/>
        <v>53607</v>
      </c>
      <c r="AU26" s="38">
        <f t="shared" si="2"/>
        <v>13379.839999999997</v>
      </c>
    </row>
    <row r="27" spans="2:47" s="26" customFormat="1" ht="22.5" x14ac:dyDescent="0.25">
      <c r="B27" s="27">
        <v>12</v>
      </c>
      <c r="C27" s="27" t="s">
        <v>39</v>
      </c>
      <c r="D27" s="28">
        <v>30482642</v>
      </c>
      <c r="E27" s="29" t="s">
        <v>713</v>
      </c>
      <c r="F27" s="29" t="s">
        <v>603</v>
      </c>
      <c r="G27" s="30" t="s">
        <v>602</v>
      </c>
      <c r="H27" s="42" t="s">
        <v>709</v>
      </c>
      <c r="I27" s="88" t="s">
        <v>57</v>
      </c>
      <c r="J27" s="31">
        <v>1025021</v>
      </c>
      <c r="K27" s="31">
        <v>257574</v>
      </c>
      <c r="L27" s="31">
        <v>0</v>
      </c>
      <c r="M27" s="160">
        <v>75698.111999999994</v>
      </c>
      <c r="N27" s="160">
        <v>72306.267000000007</v>
      </c>
      <c r="O27" s="31">
        <v>51809.983999999997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0"/>
        <v>199814.36300000001</v>
      </c>
      <c r="Z27" s="32">
        <v>679545</v>
      </c>
      <c r="AA27" s="33">
        <v>1</v>
      </c>
      <c r="AB27" s="34">
        <v>44201</v>
      </c>
      <c r="AC27" s="90">
        <v>44229</v>
      </c>
      <c r="AD27" s="32"/>
      <c r="AE27" s="35"/>
      <c r="AF27" s="36"/>
      <c r="AG27" s="89"/>
      <c r="AH27" s="32"/>
      <c r="AI27" s="33"/>
      <c r="AJ27" s="36"/>
      <c r="AK27" s="89"/>
      <c r="AL27" s="32"/>
      <c r="AM27" s="33"/>
      <c r="AN27" s="36"/>
      <c r="AO27" s="89"/>
      <c r="AP27" s="32"/>
      <c r="AQ27" s="33"/>
      <c r="AR27" s="36"/>
      <c r="AS27" s="89"/>
      <c r="AT27" s="37">
        <f t="shared" si="1"/>
        <v>679545</v>
      </c>
      <c r="AU27" s="38">
        <f t="shared" si="2"/>
        <v>479730.63699999999</v>
      </c>
    </row>
    <row r="28" spans="2:47" s="26" customFormat="1" ht="22.5" x14ac:dyDescent="0.25">
      <c r="B28" s="27">
        <v>13</v>
      </c>
      <c r="C28" s="27" t="s">
        <v>39</v>
      </c>
      <c r="D28" s="28">
        <v>30482664</v>
      </c>
      <c r="E28" s="29" t="s">
        <v>712</v>
      </c>
      <c r="F28" s="29" t="s">
        <v>603</v>
      </c>
      <c r="G28" s="30" t="s">
        <v>602</v>
      </c>
      <c r="H28" s="42" t="s">
        <v>652</v>
      </c>
      <c r="I28" s="88" t="s">
        <v>57</v>
      </c>
      <c r="J28" s="31">
        <v>899034</v>
      </c>
      <c r="K28" s="31">
        <v>701247</v>
      </c>
      <c r="L28" s="31">
        <v>0</v>
      </c>
      <c r="M28" s="160">
        <v>154625.68299999999</v>
      </c>
      <c r="N28" s="160">
        <v>1403.7650000000001</v>
      </c>
      <c r="O28" s="31">
        <v>40259.131000000001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0"/>
        <v>196288.579</v>
      </c>
      <c r="Z28" s="32">
        <v>329910</v>
      </c>
      <c r="AA28" s="33">
        <v>1</v>
      </c>
      <c r="AB28" s="34">
        <v>44201</v>
      </c>
      <c r="AC28" s="90">
        <v>44229</v>
      </c>
      <c r="AD28" s="32"/>
      <c r="AE28" s="35"/>
      <c r="AF28" s="36"/>
      <c r="AG28" s="89"/>
      <c r="AH28" s="32"/>
      <c r="AI28" s="33"/>
      <c r="AJ28" s="36"/>
      <c r="AK28" s="89"/>
      <c r="AL28" s="32"/>
      <c r="AM28" s="33"/>
      <c r="AN28" s="36"/>
      <c r="AO28" s="89"/>
      <c r="AP28" s="32"/>
      <c r="AQ28" s="33"/>
      <c r="AR28" s="36"/>
      <c r="AS28" s="89"/>
      <c r="AT28" s="37">
        <f t="shared" si="1"/>
        <v>329910</v>
      </c>
      <c r="AU28" s="38">
        <f t="shared" si="2"/>
        <v>133621.421</v>
      </c>
    </row>
    <row r="29" spans="2:47" s="26" customFormat="1" ht="22.5" x14ac:dyDescent="0.25">
      <c r="B29" s="27">
        <v>14</v>
      </c>
      <c r="C29" s="27" t="s">
        <v>39</v>
      </c>
      <c r="D29" s="28">
        <v>30484745</v>
      </c>
      <c r="E29" s="29" t="s">
        <v>711</v>
      </c>
      <c r="F29" s="29" t="s">
        <v>603</v>
      </c>
      <c r="G29" s="30" t="s">
        <v>602</v>
      </c>
      <c r="H29" s="42" t="s">
        <v>93</v>
      </c>
      <c r="I29" s="88" t="s">
        <v>57</v>
      </c>
      <c r="J29" s="31">
        <v>3235355</v>
      </c>
      <c r="K29" s="31">
        <v>1700616</v>
      </c>
      <c r="L29" s="31">
        <v>0</v>
      </c>
      <c r="M29" s="160">
        <v>283257.66899999999</v>
      </c>
      <c r="N29" s="160">
        <v>102907.836</v>
      </c>
      <c r="O29" s="31">
        <v>74733.342000000004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0"/>
        <v>460898.84700000001</v>
      </c>
      <c r="Z29" s="32">
        <v>1534739</v>
      </c>
      <c r="AA29" s="33">
        <v>1</v>
      </c>
      <c r="AB29" s="34">
        <v>44201</v>
      </c>
      <c r="AC29" s="90">
        <v>44229</v>
      </c>
      <c r="AD29" s="32"/>
      <c r="AE29" s="35"/>
      <c r="AF29" s="36"/>
      <c r="AG29" s="89"/>
      <c r="AH29" s="32"/>
      <c r="AI29" s="33"/>
      <c r="AJ29" s="36"/>
      <c r="AK29" s="89"/>
      <c r="AL29" s="32"/>
      <c r="AM29" s="33"/>
      <c r="AN29" s="36"/>
      <c r="AO29" s="89"/>
      <c r="AP29" s="32"/>
      <c r="AQ29" s="33"/>
      <c r="AR29" s="36"/>
      <c r="AS29" s="89"/>
      <c r="AT29" s="37">
        <f t="shared" si="1"/>
        <v>1534739</v>
      </c>
      <c r="AU29" s="38">
        <f t="shared" si="2"/>
        <v>1073840.1529999999</v>
      </c>
    </row>
    <row r="30" spans="2:47" s="26" customFormat="1" ht="22.5" x14ac:dyDescent="0.25">
      <c r="B30" s="27">
        <v>15</v>
      </c>
      <c r="C30" s="27" t="s">
        <v>39</v>
      </c>
      <c r="D30" s="28">
        <v>30486833</v>
      </c>
      <c r="E30" s="29" t="s">
        <v>710</v>
      </c>
      <c r="F30" s="29" t="s">
        <v>603</v>
      </c>
      <c r="G30" s="30" t="s">
        <v>602</v>
      </c>
      <c r="H30" s="42" t="s">
        <v>709</v>
      </c>
      <c r="I30" s="88" t="s">
        <v>57</v>
      </c>
      <c r="J30" s="31">
        <v>232035</v>
      </c>
      <c r="K30" s="31">
        <v>201537</v>
      </c>
      <c r="L30" s="31">
        <v>0</v>
      </c>
      <c r="M30" s="160">
        <v>0</v>
      </c>
      <c r="N30" s="160">
        <v>9556.33</v>
      </c>
      <c r="O30" s="31">
        <v>0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0"/>
        <v>9556.33</v>
      </c>
      <c r="Z30" s="32">
        <v>30498</v>
      </c>
      <c r="AA30" s="33">
        <v>1</v>
      </c>
      <c r="AB30" s="34">
        <v>44201</v>
      </c>
      <c r="AC30" s="90">
        <v>44229</v>
      </c>
      <c r="AD30" s="32"/>
      <c r="AE30" s="35"/>
      <c r="AF30" s="36"/>
      <c r="AG30" s="89"/>
      <c r="AH30" s="32"/>
      <c r="AI30" s="33"/>
      <c r="AJ30" s="36"/>
      <c r="AK30" s="89"/>
      <c r="AL30" s="32"/>
      <c r="AM30" s="33"/>
      <c r="AN30" s="36"/>
      <c r="AO30" s="89"/>
      <c r="AP30" s="32"/>
      <c r="AQ30" s="33"/>
      <c r="AR30" s="36"/>
      <c r="AS30" s="89"/>
      <c r="AT30" s="37">
        <f t="shared" si="1"/>
        <v>30498</v>
      </c>
      <c r="AU30" s="38">
        <f t="shared" si="2"/>
        <v>20941.669999999998</v>
      </c>
    </row>
    <row r="31" spans="2:47" s="26" customFormat="1" ht="22.5" x14ac:dyDescent="0.25">
      <c r="B31" s="27">
        <v>16</v>
      </c>
      <c r="C31" s="27" t="s">
        <v>39</v>
      </c>
      <c r="D31" s="28">
        <v>30486989</v>
      </c>
      <c r="E31" s="29" t="s">
        <v>708</v>
      </c>
      <c r="F31" s="29" t="s">
        <v>603</v>
      </c>
      <c r="G31" s="30" t="s">
        <v>602</v>
      </c>
      <c r="H31" s="42" t="s">
        <v>707</v>
      </c>
      <c r="I31" s="88" t="s">
        <v>57</v>
      </c>
      <c r="J31" s="31">
        <v>240159</v>
      </c>
      <c r="K31" s="31">
        <v>209450</v>
      </c>
      <c r="L31" s="31">
        <v>0</v>
      </c>
      <c r="M31" s="160">
        <v>982.13400000000001</v>
      </c>
      <c r="N31" s="160">
        <v>23859.981</v>
      </c>
      <c r="O31" s="31">
        <v>0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0"/>
        <v>24842.114999999998</v>
      </c>
      <c r="Z31" s="32">
        <v>30709</v>
      </c>
      <c r="AA31" s="33">
        <v>1</v>
      </c>
      <c r="AB31" s="34">
        <v>44201</v>
      </c>
      <c r="AC31" s="90">
        <v>44229</v>
      </c>
      <c r="AD31" s="32"/>
      <c r="AE31" s="35"/>
      <c r="AF31" s="36"/>
      <c r="AG31" s="89"/>
      <c r="AH31" s="32"/>
      <c r="AI31" s="33"/>
      <c r="AJ31" s="36"/>
      <c r="AK31" s="89"/>
      <c r="AL31" s="32"/>
      <c r="AM31" s="33"/>
      <c r="AN31" s="36"/>
      <c r="AO31" s="89"/>
      <c r="AP31" s="32"/>
      <c r="AQ31" s="33"/>
      <c r="AR31" s="36"/>
      <c r="AS31" s="89"/>
      <c r="AT31" s="37">
        <f t="shared" si="1"/>
        <v>30709</v>
      </c>
      <c r="AU31" s="38">
        <f t="shared" si="2"/>
        <v>5866.885000000002</v>
      </c>
    </row>
    <row r="32" spans="2:47" s="26" customFormat="1" ht="33.75" x14ac:dyDescent="0.25">
      <c r="B32" s="27">
        <v>17</v>
      </c>
      <c r="C32" s="27" t="s">
        <v>39</v>
      </c>
      <c r="D32" s="28">
        <v>30487109</v>
      </c>
      <c r="E32" s="29" t="s">
        <v>706</v>
      </c>
      <c r="F32" s="29" t="s">
        <v>603</v>
      </c>
      <c r="G32" s="30" t="s">
        <v>602</v>
      </c>
      <c r="H32" s="42" t="s">
        <v>605</v>
      </c>
      <c r="I32" s="88" t="s">
        <v>57</v>
      </c>
      <c r="J32" s="31">
        <v>2991366</v>
      </c>
      <c r="K32" s="31">
        <v>1234884</v>
      </c>
      <c r="L32" s="31">
        <v>0</v>
      </c>
      <c r="M32" s="160">
        <v>1063502.9950000001</v>
      </c>
      <c r="N32" s="160">
        <v>242724.07399999999</v>
      </c>
      <c r="O32" s="31">
        <v>84989.61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0"/>
        <v>1391216.6790000002</v>
      </c>
      <c r="Z32" s="32">
        <v>1743874</v>
      </c>
      <c r="AA32" s="33">
        <v>1</v>
      </c>
      <c r="AB32" s="34">
        <v>44201</v>
      </c>
      <c r="AC32" s="90">
        <v>44229</v>
      </c>
      <c r="AD32" s="32"/>
      <c r="AE32" s="35"/>
      <c r="AF32" s="36"/>
      <c r="AG32" s="89"/>
      <c r="AH32" s="32"/>
      <c r="AI32" s="33"/>
      <c r="AJ32" s="36"/>
      <c r="AK32" s="89"/>
      <c r="AL32" s="32"/>
      <c r="AM32" s="33"/>
      <c r="AN32" s="36"/>
      <c r="AO32" s="89"/>
      <c r="AP32" s="32"/>
      <c r="AQ32" s="33"/>
      <c r="AR32" s="36"/>
      <c r="AS32" s="89"/>
      <c r="AT32" s="37">
        <f t="shared" si="1"/>
        <v>1743874</v>
      </c>
      <c r="AU32" s="38">
        <f t="shared" si="2"/>
        <v>352657.32099999976</v>
      </c>
    </row>
    <row r="33" spans="2:47" s="26" customFormat="1" ht="22.5" x14ac:dyDescent="0.25">
      <c r="B33" s="27">
        <v>18</v>
      </c>
      <c r="C33" s="27" t="s">
        <v>39</v>
      </c>
      <c r="D33" s="28">
        <v>30487301</v>
      </c>
      <c r="E33" s="29" t="s">
        <v>705</v>
      </c>
      <c r="F33" s="29" t="s">
        <v>60</v>
      </c>
      <c r="G33" s="30" t="s">
        <v>602</v>
      </c>
      <c r="H33" s="42" t="s">
        <v>605</v>
      </c>
      <c r="I33" s="88" t="s">
        <v>57</v>
      </c>
      <c r="J33" s="31">
        <v>243038</v>
      </c>
      <c r="K33" s="31">
        <v>209296</v>
      </c>
      <c r="L33" s="31">
        <v>0</v>
      </c>
      <c r="M33" s="160">
        <v>0</v>
      </c>
      <c r="N33" s="160">
        <v>32988.756000000001</v>
      </c>
      <c r="O33" s="31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0"/>
        <v>32988.756000000001</v>
      </c>
      <c r="Z33" s="32">
        <v>33742</v>
      </c>
      <c r="AA33" s="33">
        <v>1</v>
      </c>
      <c r="AB33" s="34">
        <v>44201</v>
      </c>
      <c r="AC33" s="90">
        <v>44229</v>
      </c>
      <c r="AD33" s="32"/>
      <c r="AE33" s="35"/>
      <c r="AF33" s="36"/>
      <c r="AG33" s="89"/>
      <c r="AH33" s="32"/>
      <c r="AI33" s="33"/>
      <c r="AJ33" s="36"/>
      <c r="AK33" s="89"/>
      <c r="AL33" s="32"/>
      <c r="AM33" s="33"/>
      <c r="AN33" s="36"/>
      <c r="AO33" s="89"/>
      <c r="AP33" s="32"/>
      <c r="AQ33" s="33"/>
      <c r="AR33" s="36"/>
      <c r="AS33" s="89"/>
      <c r="AT33" s="37">
        <f t="shared" si="1"/>
        <v>33742</v>
      </c>
      <c r="AU33" s="38">
        <f t="shared" si="2"/>
        <v>753.24399999999878</v>
      </c>
    </row>
    <row r="34" spans="2:47" s="26" customFormat="1" ht="22.5" x14ac:dyDescent="0.25">
      <c r="B34" s="27">
        <v>19</v>
      </c>
      <c r="C34" s="27" t="s">
        <v>39</v>
      </c>
      <c r="D34" s="28">
        <v>40000311</v>
      </c>
      <c r="E34" s="29" t="s">
        <v>704</v>
      </c>
      <c r="F34" s="29" t="s">
        <v>603</v>
      </c>
      <c r="G34" s="30" t="s">
        <v>602</v>
      </c>
      <c r="H34" s="42" t="s">
        <v>601</v>
      </c>
      <c r="I34" s="88" t="s">
        <v>57</v>
      </c>
      <c r="J34" s="31">
        <v>241080</v>
      </c>
      <c r="K34" s="31">
        <v>191264</v>
      </c>
      <c r="L34" s="31">
        <v>0</v>
      </c>
      <c r="M34" s="160">
        <v>0</v>
      </c>
      <c r="N34" s="160">
        <v>0</v>
      </c>
      <c r="O34" s="31">
        <v>0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0"/>
        <v>0</v>
      </c>
      <c r="Z34" s="32">
        <v>49816</v>
      </c>
      <c r="AA34" s="33">
        <v>1</v>
      </c>
      <c r="AB34" s="34">
        <v>44201</v>
      </c>
      <c r="AC34" s="90">
        <v>44229</v>
      </c>
      <c r="AD34" s="32"/>
      <c r="AE34" s="35"/>
      <c r="AF34" s="36"/>
      <c r="AG34" s="89"/>
      <c r="AH34" s="32"/>
      <c r="AI34" s="33"/>
      <c r="AJ34" s="36"/>
      <c r="AK34" s="89"/>
      <c r="AL34" s="32"/>
      <c r="AM34" s="33"/>
      <c r="AN34" s="36"/>
      <c r="AO34" s="89"/>
      <c r="AP34" s="32"/>
      <c r="AQ34" s="33"/>
      <c r="AR34" s="36"/>
      <c r="AS34" s="89"/>
      <c r="AT34" s="37">
        <f t="shared" si="1"/>
        <v>49816</v>
      </c>
      <c r="AU34" s="38">
        <f t="shared" si="2"/>
        <v>49816</v>
      </c>
    </row>
    <row r="35" spans="2:47" s="26" customFormat="1" ht="33.75" x14ac:dyDescent="0.25">
      <c r="B35" s="27">
        <v>20</v>
      </c>
      <c r="C35" s="27" t="s">
        <v>39</v>
      </c>
      <c r="D35" s="28">
        <v>40002328</v>
      </c>
      <c r="E35" s="29" t="s">
        <v>703</v>
      </c>
      <c r="F35" s="29" t="s">
        <v>603</v>
      </c>
      <c r="G35" s="30" t="s">
        <v>602</v>
      </c>
      <c r="H35" s="42" t="s">
        <v>642</v>
      </c>
      <c r="I35" s="88" t="s">
        <v>57</v>
      </c>
      <c r="J35" s="31">
        <v>1782095</v>
      </c>
      <c r="K35" s="31">
        <v>1165828</v>
      </c>
      <c r="L35" s="31">
        <v>0</v>
      </c>
      <c r="M35" s="160">
        <v>162011.29399999999</v>
      </c>
      <c r="N35" s="160">
        <v>305641.06599999999</v>
      </c>
      <c r="O35" s="31">
        <v>13624.324000000001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0"/>
        <v>481276.68400000001</v>
      </c>
      <c r="Z35" s="32">
        <v>616267</v>
      </c>
      <c r="AA35" s="33">
        <v>1</v>
      </c>
      <c r="AB35" s="34">
        <v>44201</v>
      </c>
      <c r="AC35" s="90">
        <v>44229</v>
      </c>
      <c r="AD35" s="32"/>
      <c r="AE35" s="35"/>
      <c r="AF35" s="36"/>
      <c r="AG35" s="89"/>
      <c r="AH35" s="32"/>
      <c r="AI35" s="33"/>
      <c r="AJ35" s="36"/>
      <c r="AK35" s="89"/>
      <c r="AL35" s="32"/>
      <c r="AM35" s="33"/>
      <c r="AN35" s="36"/>
      <c r="AO35" s="89"/>
      <c r="AP35" s="32"/>
      <c r="AQ35" s="33"/>
      <c r="AR35" s="36"/>
      <c r="AS35" s="89"/>
      <c r="AT35" s="37">
        <f t="shared" si="1"/>
        <v>616267</v>
      </c>
      <c r="AU35" s="38">
        <f t="shared" si="2"/>
        <v>134990.31599999999</v>
      </c>
    </row>
    <row r="36" spans="2:47" s="26" customFormat="1" ht="33.75" x14ac:dyDescent="0.25">
      <c r="B36" s="27">
        <v>21</v>
      </c>
      <c r="C36" s="27" t="s">
        <v>39</v>
      </c>
      <c r="D36" s="28">
        <v>40002338</v>
      </c>
      <c r="E36" s="29" t="s">
        <v>702</v>
      </c>
      <c r="F36" s="29" t="s">
        <v>603</v>
      </c>
      <c r="G36" s="30" t="s">
        <v>602</v>
      </c>
      <c r="H36" s="42" t="s">
        <v>645</v>
      </c>
      <c r="I36" s="88" t="s">
        <v>57</v>
      </c>
      <c r="J36" s="31">
        <v>738545</v>
      </c>
      <c r="K36" s="31">
        <v>544637</v>
      </c>
      <c r="L36" s="31">
        <v>0</v>
      </c>
      <c r="M36" s="160">
        <v>29986.504000000001</v>
      </c>
      <c r="N36" s="160">
        <v>0</v>
      </c>
      <c r="O36" s="31">
        <v>0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0"/>
        <v>29986.504000000001</v>
      </c>
      <c r="Z36" s="32">
        <v>131745</v>
      </c>
      <c r="AA36" s="33">
        <v>1</v>
      </c>
      <c r="AB36" s="34">
        <v>44201</v>
      </c>
      <c r="AC36" s="90">
        <v>44229</v>
      </c>
      <c r="AD36" s="32"/>
      <c r="AE36" s="35"/>
      <c r="AF36" s="36"/>
      <c r="AG36" s="89"/>
      <c r="AH36" s="32"/>
      <c r="AI36" s="33"/>
      <c r="AJ36" s="36"/>
      <c r="AK36" s="89"/>
      <c r="AL36" s="32"/>
      <c r="AM36" s="33"/>
      <c r="AN36" s="36"/>
      <c r="AO36" s="89"/>
      <c r="AP36" s="32"/>
      <c r="AQ36" s="33"/>
      <c r="AR36" s="36"/>
      <c r="AS36" s="89"/>
      <c r="AT36" s="37">
        <f t="shared" si="1"/>
        <v>131745</v>
      </c>
      <c r="AU36" s="38">
        <f t="shared" si="2"/>
        <v>101758.496</v>
      </c>
    </row>
    <row r="37" spans="2:47" s="26" customFormat="1" ht="22.5" x14ac:dyDescent="0.25">
      <c r="B37" s="27">
        <v>22</v>
      </c>
      <c r="C37" s="27" t="s">
        <v>39</v>
      </c>
      <c r="D37" s="28">
        <v>40002924</v>
      </c>
      <c r="E37" s="29" t="s">
        <v>701</v>
      </c>
      <c r="F37" s="29" t="s">
        <v>603</v>
      </c>
      <c r="G37" s="30" t="s">
        <v>602</v>
      </c>
      <c r="H37" s="42" t="s">
        <v>663</v>
      </c>
      <c r="I37" s="88" t="s">
        <v>57</v>
      </c>
      <c r="J37" s="31">
        <v>622421</v>
      </c>
      <c r="K37" s="31">
        <v>225988</v>
      </c>
      <c r="L37" s="31">
        <v>0</v>
      </c>
      <c r="M37" s="160">
        <v>131168.109</v>
      </c>
      <c r="N37" s="160">
        <v>83594.175000000003</v>
      </c>
      <c r="O37" s="31">
        <v>91092.346000000005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0"/>
        <v>305854.63</v>
      </c>
      <c r="Z37" s="32">
        <v>396433</v>
      </c>
      <c r="AA37" s="33">
        <v>1</v>
      </c>
      <c r="AB37" s="34">
        <v>44201</v>
      </c>
      <c r="AC37" s="90">
        <v>44229</v>
      </c>
      <c r="AD37" s="32"/>
      <c r="AE37" s="35"/>
      <c r="AF37" s="36"/>
      <c r="AG37" s="89"/>
      <c r="AH37" s="32"/>
      <c r="AI37" s="33"/>
      <c r="AJ37" s="36"/>
      <c r="AK37" s="89"/>
      <c r="AL37" s="32"/>
      <c r="AM37" s="33"/>
      <c r="AN37" s="36"/>
      <c r="AO37" s="89"/>
      <c r="AP37" s="32"/>
      <c r="AQ37" s="33"/>
      <c r="AR37" s="36"/>
      <c r="AS37" s="89"/>
      <c r="AT37" s="37">
        <f t="shared" si="1"/>
        <v>396433</v>
      </c>
      <c r="AU37" s="38">
        <f t="shared" si="2"/>
        <v>90578.37</v>
      </c>
    </row>
    <row r="38" spans="2:47" s="26" customFormat="1" ht="22.5" x14ac:dyDescent="0.25">
      <c r="B38" s="27">
        <v>23</v>
      </c>
      <c r="C38" s="27" t="s">
        <v>39</v>
      </c>
      <c r="D38" s="28">
        <v>40002930</v>
      </c>
      <c r="E38" s="29" t="s">
        <v>700</v>
      </c>
      <c r="F38" s="29" t="s">
        <v>699</v>
      </c>
      <c r="G38" s="30" t="s">
        <v>602</v>
      </c>
      <c r="H38" s="42" t="s">
        <v>610</v>
      </c>
      <c r="I38" s="88" t="s">
        <v>57</v>
      </c>
      <c r="J38" s="31">
        <v>1388232</v>
      </c>
      <c r="K38" s="31">
        <v>470065</v>
      </c>
      <c r="L38" s="31">
        <v>0</v>
      </c>
      <c r="M38" s="160">
        <v>30000</v>
      </c>
      <c r="N38" s="160">
        <v>0</v>
      </c>
      <c r="O38" s="31">
        <v>264236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0"/>
        <v>294236</v>
      </c>
      <c r="Z38" s="32">
        <v>918167</v>
      </c>
      <c r="AA38" s="33">
        <v>1</v>
      </c>
      <c r="AB38" s="34">
        <v>44201</v>
      </c>
      <c r="AC38" s="90">
        <v>44229</v>
      </c>
      <c r="AD38" s="32"/>
      <c r="AE38" s="35"/>
      <c r="AF38" s="36"/>
      <c r="AG38" s="89"/>
      <c r="AH38" s="32"/>
      <c r="AI38" s="33"/>
      <c r="AJ38" s="36"/>
      <c r="AK38" s="89"/>
      <c r="AL38" s="32"/>
      <c r="AM38" s="33"/>
      <c r="AN38" s="36"/>
      <c r="AO38" s="89"/>
      <c r="AP38" s="32"/>
      <c r="AQ38" s="33"/>
      <c r="AR38" s="36"/>
      <c r="AS38" s="89"/>
      <c r="AT38" s="37">
        <f t="shared" si="1"/>
        <v>918167</v>
      </c>
      <c r="AU38" s="38">
        <f t="shared" si="2"/>
        <v>623931</v>
      </c>
    </row>
    <row r="39" spans="2:47" s="26" customFormat="1" ht="22.5" x14ac:dyDescent="0.25">
      <c r="B39" s="27">
        <v>24</v>
      </c>
      <c r="C39" s="27" t="s">
        <v>39</v>
      </c>
      <c r="D39" s="28">
        <v>40003248</v>
      </c>
      <c r="E39" s="29" t="s">
        <v>698</v>
      </c>
      <c r="F39" s="29" t="s">
        <v>603</v>
      </c>
      <c r="G39" s="30" t="s">
        <v>602</v>
      </c>
      <c r="H39" s="42" t="s">
        <v>645</v>
      </c>
      <c r="I39" s="88" t="s">
        <v>57</v>
      </c>
      <c r="J39" s="31">
        <v>1215651</v>
      </c>
      <c r="K39" s="31">
        <v>589320</v>
      </c>
      <c r="L39" s="31">
        <v>0</v>
      </c>
      <c r="M39" s="160">
        <v>319510.94900000002</v>
      </c>
      <c r="N39" s="160">
        <v>64189.851999999999</v>
      </c>
      <c r="O39" s="31"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0"/>
        <v>383700.80100000004</v>
      </c>
      <c r="Z39" s="32">
        <v>626331</v>
      </c>
      <c r="AA39" s="33">
        <v>1</v>
      </c>
      <c r="AB39" s="34">
        <v>44201</v>
      </c>
      <c r="AC39" s="90">
        <v>44229</v>
      </c>
      <c r="AD39" s="32"/>
      <c r="AE39" s="35"/>
      <c r="AF39" s="36"/>
      <c r="AG39" s="89"/>
      <c r="AH39" s="32"/>
      <c r="AI39" s="33"/>
      <c r="AJ39" s="36"/>
      <c r="AK39" s="89"/>
      <c r="AL39" s="32"/>
      <c r="AM39" s="33"/>
      <c r="AN39" s="36"/>
      <c r="AO39" s="89"/>
      <c r="AP39" s="32"/>
      <c r="AQ39" s="33"/>
      <c r="AR39" s="36"/>
      <c r="AS39" s="89"/>
      <c r="AT39" s="37">
        <f t="shared" si="1"/>
        <v>626331</v>
      </c>
      <c r="AU39" s="38">
        <f t="shared" si="2"/>
        <v>242630.19899999996</v>
      </c>
    </row>
    <row r="40" spans="2:47" s="26" customFormat="1" ht="22.5" x14ac:dyDescent="0.25">
      <c r="B40" s="27">
        <v>25</v>
      </c>
      <c r="C40" s="27" t="s">
        <v>39</v>
      </c>
      <c r="D40" s="28">
        <v>40003439</v>
      </c>
      <c r="E40" s="29" t="s">
        <v>697</v>
      </c>
      <c r="F40" s="29" t="s">
        <v>603</v>
      </c>
      <c r="G40" s="30" t="s">
        <v>602</v>
      </c>
      <c r="H40" s="42" t="s">
        <v>660</v>
      </c>
      <c r="I40" s="88" t="s">
        <v>57</v>
      </c>
      <c r="J40" s="31">
        <v>812682</v>
      </c>
      <c r="K40" s="31">
        <v>103908</v>
      </c>
      <c r="L40" s="31">
        <v>69550</v>
      </c>
      <c r="M40" s="160">
        <v>108743.94899999999</v>
      </c>
      <c r="N40" s="160">
        <v>47562.239000000001</v>
      </c>
      <c r="O40" s="31">
        <v>34398.311000000002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0"/>
        <v>190704.49900000001</v>
      </c>
      <c r="Z40" s="32">
        <v>623178</v>
      </c>
      <c r="AA40" s="33">
        <v>1</v>
      </c>
      <c r="AB40" s="34">
        <v>44201</v>
      </c>
      <c r="AC40" s="90">
        <v>44229</v>
      </c>
      <c r="AD40" s="32"/>
      <c r="AE40" s="35"/>
      <c r="AF40" s="36"/>
      <c r="AG40" s="89"/>
      <c r="AH40" s="32"/>
      <c r="AI40" s="33"/>
      <c r="AJ40" s="36"/>
      <c r="AK40" s="89"/>
      <c r="AL40" s="32"/>
      <c r="AM40" s="33"/>
      <c r="AN40" s="36"/>
      <c r="AO40" s="89"/>
      <c r="AP40" s="32"/>
      <c r="AQ40" s="33"/>
      <c r="AR40" s="36"/>
      <c r="AS40" s="89"/>
      <c r="AT40" s="37">
        <f t="shared" si="1"/>
        <v>623178</v>
      </c>
      <c r="AU40" s="38">
        <f t="shared" si="2"/>
        <v>432473.50099999999</v>
      </c>
    </row>
    <row r="41" spans="2:47" s="26" customFormat="1" ht="22.5" x14ac:dyDescent="0.25">
      <c r="B41" s="27">
        <v>26</v>
      </c>
      <c r="C41" s="27" t="s">
        <v>39</v>
      </c>
      <c r="D41" s="28">
        <v>40005548</v>
      </c>
      <c r="E41" s="29" t="s">
        <v>696</v>
      </c>
      <c r="F41" s="29" t="s">
        <v>603</v>
      </c>
      <c r="G41" s="30" t="s">
        <v>602</v>
      </c>
      <c r="H41" s="42" t="s">
        <v>637</v>
      </c>
      <c r="I41" s="88" t="s">
        <v>57</v>
      </c>
      <c r="J41" s="31">
        <v>500068</v>
      </c>
      <c r="K41" s="31">
        <v>130891</v>
      </c>
      <c r="L41" s="31">
        <v>0</v>
      </c>
      <c r="M41" s="160">
        <v>106807.96799999999</v>
      </c>
      <c r="N41" s="160">
        <v>44048.565000000002</v>
      </c>
      <c r="O41" s="31">
        <v>29181.713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0"/>
        <v>180038.24599999998</v>
      </c>
      <c r="Z41" s="32">
        <v>377217</v>
      </c>
      <c r="AA41" s="33">
        <v>1</v>
      </c>
      <c r="AB41" s="34">
        <v>44201</v>
      </c>
      <c r="AC41" s="90">
        <v>44229</v>
      </c>
      <c r="AD41" s="32"/>
      <c r="AE41" s="35"/>
      <c r="AF41" s="36"/>
      <c r="AG41" s="89"/>
      <c r="AH41" s="32"/>
      <c r="AI41" s="33"/>
      <c r="AJ41" s="36"/>
      <c r="AK41" s="89"/>
      <c r="AL41" s="32"/>
      <c r="AM41" s="33"/>
      <c r="AN41" s="36"/>
      <c r="AO41" s="89"/>
      <c r="AP41" s="32"/>
      <c r="AQ41" s="33"/>
      <c r="AR41" s="36"/>
      <c r="AS41" s="89"/>
      <c r="AT41" s="37">
        <f t="shared" si="1"/>
        <v>377217</v>
      </c>
      <c r="AU41" s="38">
        <f t="shared" si="2"/>
        <v>197178.75400000002</v>
      </c>
    </row>
    <row r="42" spans="2:47" s="26" customFormat="1" ht="22.5" x14ac:dyDescent="0.25">
      <c r="B42" s="27">
        <v>27</v>
      </c>
      <c r="C42" s="27" t="s">
        <v>39</v>
      </c>
      <c r="D42" s="28">
        <v>40005659</v>
      </c>
      <c r="E42" s="29" t="s">
        <v>695</v>
      </c>
      <c r="F42" s="29" t="s">
        <v>603</v>
      </c>
      <c r="G42" s="30" t="s">
        <v>602</v>
      </c>
      <c r="H42" s="42" t="s">
        <v>635</v>
      </c>
      <c r="I42" s="88" t="s">
        <v>57</v>
      </c>
      <c r="J42" s="31">
        <v>601046</v>
      </c>
      <c r="K42" s="31">
        <v>421833</v>
      </c>
      <c r="L42" s="31">
        <v>0</v>
      </c>
      <c r="M42" s="160">
        <v>0</v>
      </c>
      <c r="N42" s="160">
        <v>135114.80100000001</v>
      </c>
      <c r="O42" s="31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0"/>
        <v>135114.80100000001</v>
      </c>
      <c r="Z42" s="32">
        <v>179213</v>
      </c>
      <c r="AA42" s="33">
        <v>1</v>
      </c>
      <c r="AB42" s="34">
        <v>44201</v>
      </c>
      <c r="AC42" s="90">
        <v>44229</v>
      </c>
      <c r="AD42" s="32"/>
      <c r="AE42" s="35"/>
      <c r="AF42" s="36"/>
      <c r="AG42" s="89"/>
      <c r="AH42" s="32"/>
      <c r="AI42" s="33"/>
      <c r="AJ42" s="36"/>
      <c r="AK42" s="89"/>
      <c r="AL42" s="32"/>
      <c r="AM42" s="33"/>
      <c r="AN42" s="36"/>
      <c r="AO42" s="89"/>
      <c r="AP42" s="32"/>
      <c r="AQ42" s="33"/>
      <c r="AR42" s="36"/>
      <c r="AS42" s="89"/>
      <c r="AT42" s="37">
        <f t="shared" si="1"/>
        <v>179213</v>
      </c>
      <c r="AU42" s="38">
        <f t="shared" si="2"/>
        <v>44098.198999999993</v>
      </c>
    </row>
    <row r="43" spans="2:47" s="26" customFormat="1" ht="22.5" x14ac:dyDescent="0.25">
      <c r="B43" s="27">
        <v>28</v>
      </c>
      <c r="C43" s="27" t="s">
        <v>39</v>
      </c>
      <c r="D43" s="28">
        <v>40009251</v>
      </c>
      <c r="E43" s="29" t="s">
        <v>694</v>
      </c>
      <c r="F43" s="29" t="s">
        <v>60</v>
      </c>
      <c r="G43" s="30" t="s">
        <v>602</v>
      </c>
      <c r="H43" s="42" t="s">
        <v>693</v>
      </c>
      <c r="I43" s="88" t="s">
        <v>57</v>
      </c>
      <c r="J43" s="31">
        <v>80780</v>
      </c>
      <c r="K43" s="31">
        <v>10225</v>
      </c>
      <c r="L43" s="31">
        <v>0</v>
      </c>
      <c r="M43" s="160">
        <v>0</v>
      </c>
      <c r="N43" s="160">
        <v>2000</v>
      </c>
      <c r="O43" s="31">
        <v>27080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0"/>
        <v>29080</v>
      </c>
      <c r="Z43" s="32">
        <v>70555</v>
      </c>
      <c r="AA43" s="33">
        <v>1</v>
      </c>
      <c r="AB43" s="34">
        <v>44201</v>
      </c>
      <c r="AC43" s="90">
        <v>44229</v>
      </c>
      <c r="AD43" s="32"/>
      <c r="AE43" s="35"/>
      <c r="AF43" s="36"/>
      <c r="AG43" s="89"/>
      <c r="AH43" s="32"/>
      <c r="AI43" s="33"/>
      <c r="AJ43" s="36"/>
      <c r="AK43" s="89"/>
      <c r="AL43" s="32"/>
      <c r="AM43" s="33"/>
      <c r="AN43" s="36"/>
      <c r="AO43" s="89"/>
      <c r="AP43" s="32"/>
      <c r="AQ43" s="33"/>
      <c r="AR43" s="36"/>
      <c r="AS43" s="89"/>
      <c r="AT43" s="37">
        <f t="shared" si="1"/>
        <v>70555</v>
      </c>
      <c r="AU43" s="38">
        <f t="shared" si="2"/>
        <v>41475</v>
      </c>
    </row>
    <row r="44" spans="2:47" s="26" customFormat="1" ht="22.5" x14ac:dyDescent="0.25">
      <c r="B44" s="27">
        <v>29</v>
      </c>
      <c r="C44" s="27" t="s">
        <v>39</v>
      </c>
      <c r="D44" s="28">
        <v>30091783</v>
      </c>
      <c r="E44" s="29" t="s">
        <v>692</v>
      </c>
      <c r="F44" s="29" t="s">
        <v>60</v>
      </c>
      <c r="G44" s="30" t="s">
        <v>602</v>
      </c>
      <c r="H44" s="42" t="s">
        <v>691</v>
      </c>
      <c r="I44" s="88" t="s">
        <v>57</v>
      </c>
      <c r="J44" s="31">
        <v>151123</v>
      </c>
      <c r="K44" s="31">
        <v>24045</v>
      </c>
      <c r="L44" s="31">
        <v>0</v>
      </c>
      <c r="M44" s="160">
        <v>0</v>
      </c>
      <c r="N44" s="160">
        <v>21932.1</v>
      </c>
      <c r="O44" s="31"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0"/>
        <v>21932.1</v>
      </c>
      <c r="Z44" s="32">
        <v>124282</v>
      </c>
      <c r="AA44" s="33">
        <v>2</v>
      </c>
      <c r="AB44" s="41">
        <v>44209</v>
      </c>
      <c r="AC44" s="89">
        <v>44249</v>
      </c>
      <c r="AD44" s="32"/>
      <c r="AE44" s="35"/>
      <c r="AF44" s="36"/>
      <c r="AG44" s="89"/>
      <c r="AH44" s="32"/>
      <c r="AI44" s="33"/>
      <c r="AJ44" s="36"/>
      <c r="AK44" s="89"/>
      <c r="AL44" s="32"/>
      <c r="AM44" s="33"/>
      <c r="AN44" s="36"/>
      <c r="AO44" s="89"/>
      <c r="AP44" s="32"/>
      <c r="AQ44" s="33"/>
      <c r="AR44" s="36"/>
      <c r="AS44" s="89"/>
      <c r="AT44" s="37">
        <f t="shared" si="1"/>
        <v>124282</v>
      </c>
      <c r="AU44" s="38">
        <f t="shared" si="2"/>
        <v>102349.9</v>
      </c>
    </row>
    <row r="45" spans="2:47" s="26" customFormat="1" ht="22.5" x14ac:dyDescent="0.25">
      <c r="B45" s="27">
        <v>30</v>
      </c>
      <c r="C45" s="27" t="s">
        <v>39</v>
      </c>
      <c r="D45" s="28">
        <v>30100763</v>
      </c>
      <c r="E45" s="29" t="s">
        <v>690</v>
      </c>
      <c r="F45" s="29" t="s">
        <v>603</v>
      </c>
      <c r="G45" s="30" t="s">
        <v>602</v>
      </c>
      <c r="H45" s="42" t="s">
        <v>689</v>
      </c>
      <c r="I45" s="88" t="s">
        <v>57</v>
      </c>
      <c r="J45" s="31">
        <v>812062</v>
      </c>
      <c r="K45" s="31">
        <v>625461</v>
      </c>
      <c r="L45" s="31">
        <v>6424</v>
      </c>
      <c r="M45" s="160">
        <v>0</v>
      </c>
      <c r="N45" s="160">
        <v>39980.881000000001</v>
      </c>
      <c r="O45" s="31">
        <v>32400.802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0"/>
        <v>72381.683000000005</v>
      </c>
      <c r="Z45" s="32">
        <v>180175</v>
      </c>
      <c r="AA45" s="33">
        <v>2</v>
      </c>
      <c r="AB45" s="41">
        <v>44209</v>
      </c>
      <c r="AC45" s="89">
        <v>44249</v>
      </c>
      <c r="AD45" s="32"/>
      <c r="AE45" s="35"/>
      <c r="AF45" s="36"/>
      <c r="AG45" s="89"/>
      <c r="AH45" s="32"/>
      <c r="AI45" s="33"/>
      <c r="AJ45" s="36"/>
      <c r="AK45" s="89"/>
      <c r="AL45" s="32"/>
      <c r="AM45" s="33"/>
      <c r="AN45" s="36"/>
      <c r="AO45" s="89"/>
      <c r="AP45" s="32"/>
      <c r="AQ45" s="33"/>
      <c r="AR45" s="36"/>
      <c r="AS45" s="89"/>
      <c r="AT45" s="37">
        <f t="shared" si="1"/>
        <v>180175</v>
      </c>
      <c r="AU45" s="38">
        <f t="shared" si="2"/>
        <v>107793.317</v>
      </c>
    </row>
    <row r="46" spans="2:47" s="26" customFormat="1" ht="22.5" x14ac:dyDescent="0.25">
      <c r="B46" s="27">
        <v>31</v>
      </c>
      <c r="C46" s="27" t="s">
        <v>39</v>
      </c>
      <c r="D46" s="28">
        <v>30110324</v>
      </c>
      <c r="E46" s="29" t="s">
        <v>688</v>
      </c>
      <c r="F46" s="29" t="s">
        <v>603</v>
      </c>
      <c r="G46" s="30" t="s">
        <v>602</v>
      </c>
      <c r="H46" s="42" t="s">
        <v>610</v>
      </c>
      <c r="I46" s="88" t="s">
        <v>57</v>
      </c>
      <c r="J46" s="31">
        <v>5623750</v>
      </c>
      <c r="K46" s="31">
        <v>0</v>
      </c>
      <c r="L46" s="31">
        <v>4345625</v>
      </c>
      <c r="M46" s="160">
        <v>0</v>
      </c>
      <c r="N46" s="160">
        <v>0</v>
      </c>
      <c r="O46" s="31"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0"/>
        <v>0</v>
      </c>
      <c r="Z46" s="32">
        <v>1</v>
      </c>
      <c r="AA46" s="33">
        <v>2</v>
      </c>
      <c r="AB46" s="41">
        <v>44209</v>
      </c>
      <c r="AC46" s="89">
        <v>44249</v>
      </c>
      <c r="AD46" s="32"/>
      <c r="AE46" s="35"/>
      <c r="AF46" s="36"/>
      <c r="AG46" s="89"/>
      <c r="AH46" s="32"/>
      <c r="AI46" s="33"/>
      <c r="AJ46" s="36"/>
      <c r="AK46" s="89"/>
      <c r="AL46" s="32"/>
      <c r="AM46" s="33"/>
      <c r="AN46" s="36"/>
      <c r="AO46" s="89"/>
      <c r="AP46" s="32"/>
      <c r="AQ46" s="33"/>
      <c r="AR46" s="36"/>
      <c r="AS46" s="89"/>
      <c r="AT46" s="37">
        <f t="shared" si="1"/>
        <v>1</v>
      </c>
      <c r="AU46" s="38">
        <f t="shared" si="2"/>
        <v>1</v>
      </c>
    </row>
    <row r="47" spans="2:47" s="26" customFormat="1" ht="22.5" x14ac:dyDescent="0.25">
      <c r="B47" s="27">
        <v>32</v>
      </c>
      <c r="C47" s="27" t="s">
        <v>39</v>
      </c>
      <c r="D47" s="28">
        <v>30123960</v>
      </c>
      <c r="E47" s="29" t="s">
        <v>687</v>
      </c>
      <c r="F47" s="29" t="s">
        <v>603</v>
      </c>
      <c r="G47" s="30" t="s">
        <v>602</v>
      </c>
      <c r="H47" s="42" t="s">
        <v>624</v>
      </c>
      <c r="I47" s="88" t="s">
        <v>72</v>
      </c>
      <c r="J47" s="31">
        <v>977413</v>
      </c>
      <c r="K47" s="31">
        <v>1907</v>
      </c>
      <c r="L47" s="31">
        <v>0</v>
      </c>
      <c r="M47" s="160">
        <v>0</v>
      </c>
      <c r="N47" s="160">
        <v>0</v>
      </c>
      <c r="O47" s="31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0"/>
        <v>0</v>
      </c>
      <c r="Z47" s="32">
        <v>86140</v>
      </c>
      <c r="AA47" s="33">
        <v>2</v>
      </c>
      <c r="AB47" s="41">
        <v>44209</v>
      </c>
      <c r="AC47" s="89">
        <v>44249</v>
      </c>
      <c r="AD47" s="32"/>
      <c r="AE47" s="35"/>
      <c r="AF47" s="36"/>
      <c r="AG47" s="89"/>
      <c r="AH47" s="32"/>
      <c r="AI47" s="33"/>
      <c r="AJ47" s="36"/>
      <c r="AK47" s="89"/>
      <c r="AL47" s="32"/>
      <c r="AM47" s="33"/>
      <c r="AN47" s="36"/>
      <c r="AO47" s="89"/>
      <c r="AP47" s="32"/>
      <c r="AQ47" s="33"/>
      <c r="AR47" s="36"/>
      <c r="AS47" s="89"/>
      <c r="AT47" s="37">
        <f t="shared" si="1"/>
        <v>86140</v>
      </c>
      <c r="AU47" s="38">
        <f t="shared" si="2"/>
        <v>86140</v>
      </c>
    </row>
    <row r="48" spans="2:47" s="26" customFormat="1" ht="22.5" x14ac:dyDescent="0.25">
      <c r="B48" s="27">
        <v>33</v>
      </c>
      <c r="C48" s="27" t="s">
        <v>39</v>
      </c>
      <c r="D48" s="28">
        <v>30126944</v>
      </c>
      <c r="E48" s="29" t="s">
        <v>686</v>
      </c>
      <c r="F48" s="29" t="s">
        <v>603</v>
      </c>
      <c r="G48" s="30" t="s">
        <v>602</v>
      </c>
      <c r="H48" s="42" t="s">
        <v>667</v>
      </c>
      <c r="I48" s="88" t="s">
        <v>72</v>
      </c>
      <c r="J48" s="31">
        <v>603229</v>
      </c>
      <c r="K48" s="31">
        <v>0</v>
      </c>
      <c r="L48" s="31">
        <v>0</v>
      </c>
      <c r="M48" s="160">
        <v>0</v>
      </c>
      <c r="N48" s="160">
        <v>0</v>
      </c>
      <c r="O48" s="31">
        <v>0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ref="Y48:Y79" si="3">SUM(M48:X48)</f>
        <v>0</v>
      </c>
      <c r="Z48" s="32">
        <v>32210</v>
      </c>
      <c r="AA48" s="33">
        <v>2</v>
      </c>
      <c r="AB48" s="41">
        <v>44209</v>
      </c>
      <c r="AC48" s="89">
        <v>44249</v>
      </c>
      <c r="AD48" s="32"/>
      <c r="AE48" s="35"/>
      <c r="AF48" s="36"/>
      <c r="AG48" s="89"/>
      <c r="AH48" s="32"/>
      <c r="AI48" s="33"/>
      <c r="AJ48" s="36"/>
      <c r="AK48" s="89"/>
      <c r="AL48" s="32"/>
      <c r="AM48" s="33"/>
      <c r="AN48" s="36"/>
      <c r="AO48" s="89"/>
      <c r="AP48" s="32"/>
      <c r="AQ48" s="33"/>
      <c r="AR48" s="36"/>
      <c r="AS48" s="89"/>
      <c r="AT48" s="37">
        <f t="shared" ref="AT48:AT79" si="4">+Z48+AD48+AH48+AL48+AP48</f>
        <v>32210</v>
      </c>
      <c r="AU48" s="38">
        <f t="shared" ref="AU48:AU79" si="5">+AT48-Y48</f>
        <v>32210</v>
      </c>
    </row>
    <row r="49" spans="2:47" s="26" customFormat="1" x14ac:dyDescent="0.25">
      <c r="B49" s="27">
        <v>34</v>
      </c>
      <c r="C49" s="27" t="s">
        <v>39</v>
      </c>
      <c r="D49" s="28">
        <v>30133146</v>
      </c>
      <c r="E49" s="29" t="s">
        <v>685</v>
      </c>
      <c r="F49" s="29" t="s">
        <v>603</v>
      </c>
      <c r="G49" s="30" t="s">
        <v>602</v>
      </c>
      <c r="H49" s="42" t="s">
        <v>684</v>
      </c>
      <c r="I49" s="88" t="s">
        <v>72</v>
      </c>
      <c r="J49" s="31">
        <v>1250263</v>
      </c>
      <c r="K49" s="31">
        <v>3878</v>
      </c>
      <c r="L49" s="31">
        <v>597307</v>
      </c>
      <c r="M49" s="160">
        <v>0</v>
      </c>
      <c r="N49" s="160">
        <v>10659.281999999999</v>
      </c>
      <c r="O49" s="31">
        <v>106592.823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3"/>
        <v>117252.10500000001</v>
      </c>
      <c r="Z49" s="32">
        <v>291442</v>
      </c>
      <c r="AA49" s="33">
        <v>2</v>
      </c>
      <c r="AB49" s="41">
        <v>44209</v>
      </c>
      <c r="AC49" s="89">
        <v>44249</v>
      </c>
      <c r="AD49" s="32"/>
      <c r="AE49" s="35"/>
      <c r="AF49" s="36"/>
      <c r="AG49" s="89"/>
      <c r="AH49" s="32"/>
      <c r="AI49" s="33"/>
      <c r="AJ49" s="36"/>
      <c r="AK49" s="89"/>
      <c r="AL49" s="32"/>
      <c r="AM49" s="33"/>
      <c r="AN49" s="36"/>
      <c r="AO49" s="89"/>
      <c r="AP49" s="32"/>
      <c r="AQ49" s="33"/>
      <c r="AR49" s="36"/>
      <c r="AS49" s="89"/>
      <c r="AT49" s="37">
        <f t="shared" si="4"/>
        <v>291442</v>
      </c>
      <c r="AU49" s="38">
        <f t="shared" si="5"/>
        <v>174189.89499999999</v>
      </c>
    </row>
    <row r="50" spans="2:47" s="26" customFormat="1" ht="22.5" x14ac:dyDescent="0.25">
      <c r="B50" s="27">
        <v>35</v>
      </c>
      <c r="C50" s="27" t="s">
        <v>39</v>
      </c>
      <c r="D50" s="28">
        <v>30135425</v>
      </c>
      <c r="E50" s="29" t="s">
        <v>683</v>
      </c>
      <c r="F50" s="29" t="s">
        <v>603</v>
      </c>
      <c r="G50" s="30" t="s">
        <v>602</v>
      </c>
      <c r="H50" s="42" t="s">
        <v>682</v>
      </c>
      <c r="I50" s="88" t="s">
        <v>57</v>
      </c>
      <c r="J50" s="31">
        <v>823828</v>
      </c>
      <c r="K50" s="31">
        <v>33244</v>
      </c>
      <c r="L50" s="31">
        <v>0</v>
      </c>
      <c r="M50" s="160">
        <v>0</v>
      </c>
      <c r="N50" s="160">
        <v>0</v>
      </c>
      <c r="O50" s="31">
        <v>0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3"/>
        <v>0</v>
      </c>
      <c r="Z50" s="32">
        <v>661260</v>
      </c>
      <c r="AA50" s="33">
        <v>2</v>
      </c>
      <c r="AB50" s="41">
        <v>44209</v>
      </c>
      <c r="AC50" s="89">
        <v>44249</v>
      </c>
      <c r="AD50" s="32"/>
      <c r="AE50" s="35"/>
      <c r="AF50" s="36"/>
      <c r="AG50" s="89"/>
      <c r="AH50" s="32"/>
      <c r="AI50" s="33"/>
      <c r="AJ50" s="36"/>
      <c r="AK50" s="89"/>
      <c r="AL50" s="32"/>
      <c r="AM50" s="33"/>
      <c r="AN50" s="36"/>
      <c r="AO50" s="89"/>
      <c r="AP50" s="32"/>
      <c r="AQ50" s="33"/>
      <c r="AR50" s="36"/>
      <c r="AS50" s="89"/>
      <c r="AT50" s="37">
        <f t="shared" si="4"/>
        <v>661260</v>
      </c>
      <c r="AU50" s="38">
        <f t="shared" si="5"/>
        <v>661260</v>
      </c>
    </row>
    <row r="51" spans="2:47" s="26" customFormat="1" ht="22.5" x14ac:dyDescent="0.25">
      <c r="B51" s="27">
        <v>36</v>
      </c>
      <c r="C51" s="27" t="s">
        <v>39</v>
      </c>
      <c r="D51" s="28">
        <v>30135429</v>
      </c>
      <c r="E51" s="29" t="s">
        <v>681</v>
      </c>
      <c r="F51" s="29" t="s">
        <v>603</v>
      </c>
      <c r="G51" s="30" t="s">
        <v>602</v>
      </c>
      <c r="H51" s="42" t="s">
        <v>633</v>
      </c>
      <c r="I51" s="88" t="s">
        <v>72</v>
      </c>
      <c r="J51" s="31">
        <v>719930</v>
      </c>
      <c r="K51" s="31">
        <v>1081</v>
      </c>
      <c r="L51" s="31">
        <v>100000</v>
      </c>
      <c r="M51" s="160">
        <v>0</v>
      </c>
      <c r="N51" s="160">
        <v>0</v>
      </c>
      <c r="O51" s="31">
        <v>0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3"/>
        <v>0</v>
      </c>
      <c r="Z51" s="32">
        <v>152792</v>
      </c>
      <c r="AA51" s="33">
        <v>2</v>
      </c>
      <c r="AB51" s="41">
        <v>44209</v>
      </c>
      <c r="AC51" s="89">
        <v>44249</v>
      </c>
      <c r="AD51" s="32"/>
      <c r="AE51" s="35"/>
      <c r="AF51" s="36"/>
      <c r="AG51" s="89"/>
      <c r="AH51" s="32"/>
      <c r="AI51" s="33"/>
      <c r="AJ51" s="36"/>
      <c r="AK51" s="89"/>
      <c r="AL51" s="32"/>
      <c r="AM51" s="33"/>
      <c r="AN51" s="36"/>
      <c r="AO51" s="89"/>
      <c r="AP51" s="32"/>
      <c r="AQ51" s="33"/>
      <c r="AR51" s="36"/>
      <c r="AS51" s="89"/>
      <c r="AT51" s="37">
        <f t="shared" si="4"/>
        <v>152792</v>
      </c>
      <c r="AU51" s="38">
        <f t="shared" si="5"/>
        <v>152792</v>
      </c>
    </row>
    <row r="52" spans="2:47" s="26" customFormat="1" x14ac:dyDescent="0.25">
      <c r="B52" s="27">
        <v>37</v>
      </c>
      <c r="C52" s="27" t="s">
        <v>39</v>
      </c>
      <c r="D52" s="28">
        <v>30298074</v>
      </c>
      <c r="E52" s="29" t="s">
        <v>680</v>
      </c>
      <c r="F52" s="29" t="s">
        <v>603</v>
      </c>
      <c r="G52" s="30" t="s">
        <v>602</v>
      </c>
      <c r="H52" s="42" t="s">
        <v>631</v>
      </c>
      <c r="I52" s="88" t="s">
        <v>57</v>
      </c>
      <c r="J52" s="31">
        <v>1170990</v>
      </c>
      <c r="K52" s="31">
        <v>73149</v>
      </c>
      <c r="L52" s="31">
        <v>0</v>
      </c>
      <c r="M52" s="160">
        <v>0</v>
      </c>
      <c r="N52" s="160">
        <v>229378.87400000001</v>
      </c>
      <c r="O52" s="31">
        <v>210497.51199999999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3"/>
        <v>439876.386</v>
      </c>
      <c r="Z52" s="32">
        <v>700000</v>
      </c>
      <c r="AA52" s="33">
        <v>2</v>
      </c>
      <c r="AB52" s="41">
        <v>44209</v>
      </c>
      <c r="AC52" s="89">
        <v>44249</v>
      </c>
      <c r="AD52" s="32"/>
      <c r="AE52" s="35"/>
      <c r="AF52" s="36"/>
      <c r="AG52" s="89"/>
      <c r="AH52" s="32"/>
      <c r="AI52" s="33"/>
      <c r="AJ52" s="36"/>
      <c r="AK52" s="89"/>
      <c r="AL52" s="32"/>
      <c r="AM52" s="33"/>
      <c r="AN52" s="36"/>
      <c r="AO52" s="89"/>
      <c r="AP52" s="32"/>
      <c r="AQ52" s="33"/>
      <c r="AR52" s="36"/>
      <c r="AS52" s="89"/>
      <c r="AT52" s="37">
        <f t="shared" si="4"/>
        <v>700000</v>
      </c>
      <c r="AU52" s="38">
        <f t="shared" si="5"/>
        <v>260123.614</v>
      </c>
    </row>
    <row r="53" spans="2:47" s="26" customFormat="1" ht="22.5" x14ac:dyDescent="0.25">
      <c r="B53" s="27">
        <v>38</v>
      </c>
      <c r="C53" s="27" t="s">
        <v>39</v>
      </c>
      <c r="D53" s="28">
        <v>30395225</v>
      </c>
      <c r="E53" s="29" t="s">
        <v>679</v>
      </c>
      <c r="F53" s="29" t="s">
        <v>60</v>
      </c>
      <c r="G53" s="30" t="s">
        <v>602</v>
      </c>
      <c r="H53" s="42" t="s">
        <v>624</v>
      </c>
      <c r="I53" s="88" t="s">
        <v>72</v>
      </c>
      <c r="J53" s="31">
        <v>164476</v>
      </c>
      <c r="K53" s="31">
        <v>5746</v>
      </c>
      <c r="L53" s="31">
        <v>76782</v>
      </c>
      <c r="M53" s="160">
        <v>0</v>
      </c>
      <c r="N53" s="160">
        <v>14300</v>
      </c>
      <c r="O53" s="31"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3"/>
        <v>14300</v>
      </c>
      <c r="Z53" s="32">
        <v>43000</v>
      </c>
      <c r="AA53" s="33">
        <v>2</v>
      </c>
      <c r="AB53" s="41">
        <v>44209</v>
      </c>
      <c r="AC53" s="89">
        <v>44249</v>
      </c>
      <c r="AD53" s="32"/>
      <c r="AE53" s="35"/>
      <c r="AF53" s="36"/>
      <c r="AG53" s="89"/>
      <c r="AH53" s="32"/>
      <c r="AI53" s="33"/>
      <c r="AJ53" s="36"/>
      <c r="AK53" s="89"/>
      <c r="AL53" s="32"/>
      <c r="AM53" s="33"/>
      <c r="AN53" s="36"/>
      <c r="AO53" s="89"/>
      <c r="AP53" s="32"/>
      <c r="AQ53" s="33"/>
      <c r="AR53" s="36"/>
      <c r="AS53" s="89"/>
      <c r="AT53" s="37">
        <f t="shared" si="4"/>
        <v>43000</v>
      </c>
      <c r="AU53" s="38">
        <f t="shared" si="5"/>
        <v>28700</v>
      </c>
    </row>
    <row r="54" spans="2:47" s="26" customFormat="1" ht="22.5" x14ac:dyDescent="0.25">
      <c r="B54" s="27">
        <v>39</v>
      </c>
      <c r="C54" s="27" t="s">
        <v>39</v>
      </c>
      <c r="D54" s="28">
        <v>30396674</v>
      </c>
      <c r="E54" s="29" t="s">
        <v>678</v>
      </c>
      <c r="F54" s="29" t="s">
        <v>60</v>
      </c>
      <c r="G54" s="30" t="s">
        <v>602</v>
      </c>
      <c r="H54" s="42" t="s">
        <v>660</v>
      </c>
      <c r="I54" s="88" t="s">
        <v>57</v>
      </c>
      <c r="J54" s="31">
        <v>288882</v>
      </c>
      <c r="K54" s="31">
        <v>248513</v>
      </c>
      <c r="L54" s="31">
        <v>0</v>
      </c>
      <c r="M54" s="160">
        <v>0</v>
      </c>
      <c r="N54" s="160">
        <v>0</v>
      </c>
      <c r="O54" s="31"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3"/>
        <v>0</v>
      </c>
      <c r="Z54" s="32">
        <v>40369</v>
      </c>
      <c r="AA54" s="33">
        <v>2</v>
      </c>
      <c r="AB54" s="41">
        <v>44209</v>
      </c>
      <c r="AC54" s="89">
        <v>44249</v>
      </c>
      <c r="AD54" s="32"/>
      <c r="AE54" s="35"/>
      <c r="AF54" s="36"/>
      <c r="AG54" s="89"/>
      <c r="AH54" s="32"/>
      <c r="AI54" s="33"/>
      <c r="AJ54" s="36"/>
      <c r="AK54" s="89"/>
      <c r="AL54" s="32"/>
      <c r="AM54" s="33"/>
      <c r="AN54" s="36"/>
      <c r="AO54" s="89"/>
      <c r="AP54" s="32"/>
      <c r="AQ54" s="33"/>
      <c r="AR54" s="36"/>
      <c r="AS54" s="89"/>
      <c r="AT54" s="37">
        <f t="shared" si="4"/>
        <v>40369</v>
      </c>
      <c r="AU54" s="38">
        <f t="shared" si="5"/>
        <v>40369</v>
      </c>
    </row>
    <row r="55" spans="2:47" s="26" customFormat="1" ht="22.5" x14ac:dyDescent="0.25">
      <c r="B55" s="27">
        <v>40</v>
      </c>
      <c r="C55" s="27" t="s">
        <v>39</v>
      </c>
      <c r="D55" s="28">
        <v>30434978</v>
      </c>
      <c r="E55" s="29" t="s">
        <v>677</v>
      </c>
      <c r="F55" s="29" t="s">
        <v>603</v>
      </c>
      <c r="G55" s="30" t="s">
        <v>602</v>
      </c>
      <c r="H55" s="42" t="s">
        <v>652</v>
      </c>
      <c r="I55" s="88" t="s">
        <v>57</v>
      </c>
      <c r="J55" s="31">
        <v>1519025</v>
      </c>
      <c r="K55" s="31">
        <v>1173316</v>
      </c>
      <c r="L55" s="31">
        <v>0</v>
      </c>
      <c r="M55" s="160">
        <v>0</v>
      </c>
      <c r="N55" s="160">
        <v>144470.71799999999</v>
      </c>
      <c r="O55" s="31">
        <v>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3"/>
        <v>144470.71799999999</v>
      </c>
      <c r="Z55" s="32">
        <v>345709</v>
      </c>
      <c r="AA55" s="33">
        <v>2</v>
      </c>
      <c r="AB55" s="41">
        <v>44209</v>
      </c>
      <c r="AC55" s="89">
        <v>44249</v>
      </c>
      <c r="AD55" s="32"/>
      <c r="AE55" s="35"/>
      <c r="AF55" s="36"/>
      <c r="AG55" s="89"/>
      <c r="AH55" s="32"/>
      <c r="AI55" s="33"/>
      <c r="AJ55" s="36"/>
      <c r="AK55" s="89"/>
      <c r="AL55" s="32"/>
      <c r="AM55" s="33"/>
      <c r="AN55" s="36"/>
      <c r="AO55" s="89"/>
      <c r="AP55" s="32"/>
      <c r="AQ55" s="33"/>
      <c r="AR55" s="36"/>
      <c r="AS55" s="89"/>
      <c r="AT55" s="37">
        <f t="shared" si="4"/>
        <v>345709</v>
      </c>
      <c r="AU55" s="38">
        <f t="shared" si="5"/>
        <v>201238.28200000001</v>
      </c>
    </row>
    <row r="56" spans="2:47" s="26" customFormat="1" ht="22.5" x14ac:dyDescent="0.25">
      <c r="B56" s="27">
        <v>41</v>
      </c>
      <c r="C56" s="27" t="s">
        <v>39</v>
      </c>
      <c r="D56" s="28">
        <v>30436222</v>
      </c>
      <c r="E56" s="29" t="s">
        <v>676</v>
      </c>
      <c r="F56" s="29" t="s">
        <v>603</v>
      </c>
      <c r="G56" s="30" t="s">
        <v>602</v>
      </c>
      <c r="H56" s="42" t="s">
        <v>605</v>
      </c>
      <c r="I56" s="88" t="s">
        <v>72</v>
      </c>
      <c r="J56" s="31">
        <v>1179549</v>
      </c>
      <c r="K56" s="31">
        <v>0</v>
      </c>
      <c r="L56" s="31">
        <v>520520</v>
      </c>
      <c r="M56" s="160">
        <v>0</v>
      </c>
      <c r="N56" s="160">
        <v>0</v>
      </c>
      <c r="O56" s="31"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3"/>
        <v>0</v>
      </c>
      <c r="Z56" s="32">
        <v>190000</v>
      </c>
      <c r="AA56" s="33">
        <v>2</v>
      </c>
      <c r="AB56" s="41">
        <v>44209</v>
      </c>
      <c r="AC56" s="89">
        <v>44249</v>
      </c>
      <c r="AD56" s="32"/>
      <c r="AE56" s="35"/>
      <c r="AF56" s="36"/>
      <c r="AG56" s="89"/>
      <c r="AH56" s="32"/>
      <c r="AI56" s="33"/>
      <c r="AJ56" s="36"/>
      <c r="AK56" s="89"/>
      <c r="AL56" s="32"/>
      <c r="AM56" s="33"/>
      <c r="AN56" s="36"/>
      <c r="AO56" s="89"/>
      <c r="AP56" s="32"/>
      <c r="AQ56" s="33"/>
      <c r="AR56" s="36"/>
      <c r="AS56" s="89"/>
      <c r="AT56" s="37">
        <f t="shared" si="4"/>
        <v>190000</v>
      </c>
      <c r="AU56" s="38">
        <f t="shared" si="5"/>
        <v>190000</v>
      </c>
    </row>
    <row r="57" spans="2:47" s="26" customFormat="1" ht="22.5" x14ac:dyDescent="0.25">
      <c r="B57" s="27">
        <v>42</v>
      </c>
      <c r="C57" s="27" t="s">
        <v>39</v>
      </c>
      <c r="D57" s="28">
        <v>30437973</v>
      </c>
      <c r="E57" s="29" t="s">
        <v>675</v>
      </c>
      <c r="F57" s="29" t="s">
        <v>60</v>
      </c>
      <c r="G57" s="30" t="s">
        <v>602</v>
      </c>
      <c r="H57" s="42" t="s">
        <v>669</v>
      </c>
      <c r="I57" s="88" t="s">
        <v>57</v>
      </c>
      <c r="J57" s="31">
        <v>84358</v>
      </c>
      <c r="K57" s="31">
        <v>12167</v>
      </c>
      <c r="L57" s="31">
        <v>3600</v>
      </c>
      <c r="M57" s="160">
        <v>0</v>
      </c>
      <c r="N57" s="160">
        <v>0</v>
      </c>
      <c r="O57" s="31">
        <v>0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3"/>
        <v>0</v>
      </c>
      <c r="Z57" s="32">
        <v>68591</v>
      </c>
      <c r="AA57" s="33">
        <v>2</v>
      </c>
      <c r="AB57" s="41">
        <v>44209</v>
      </c>
      <c r="AC57" s="89">
        <v>44249</v>
      </c>
      <c r="AD57" s="32"/>
      <c r="AE57" s="35"/>
      <c r="AF57" s="36"/>
      <c r="AG57" s="89"/>
      <c r="AH57" s="32"/>
      <c r="AI57" s="33"/>
      <c r="AJ57" s="36"/>
      <c r="AK57" s="89"/>
      <c r="AL57" s="32"/>
      <c r="AM57" s="33"/>
      <c r="AN57" s="36"/>
      <c r="AO57" s="89"/>
      <c r="AP57" s="32"/>
      <c r="AQ57" s="33"/>
      <c r="AR57" s="36"/>
      <c r="AS57" s="89"/>
      <c r="AT57" s="37">
        <f t="shared" si="4"/>
        <v>68591</v>
      </c>
      <c r="AU57" s="38">
        <f t="shared" si="5"/>
        <v>68591</v>
      </c>
    </row>
    <row r="58" spans="2:47" s="26" customFormat="1" ht="22.5" x14ac:dyDescent="0.25">
      <c r="B58" s="27">
        <v>43</v>
      </c>
      <c r="C58" s="27" t="s">
        <v>39</v>
      </c>
      <c r="D58" s="28">
        <v>30460086</v>
      </c>
      <c r="E58" s="29" t="s">
        <v>674</v>
      </c>
      <c r="F58" s="29" t="s">
        <v>603</v>
      </c>
      <c r="G58" s="30" t="s">
        <v>602</v>
      </c>
      <c r="H58" s="42" t="s">
        <v>673</v>
      </c>
      <c r="I58" s="88" t="s">
        <v>57</v>
      </c>
      <c r="J58" s="31">
        <v>1281879</v>
      </c>
      <c r="K58" s="31">
        <v>1223644</v>
      </c>
      <c r="L58" s="31">
        <v>0</v>
      </c>
      <c r="M58" s="160">
        <v>0</v>
      </c>
      <c r="N58" s="160">
        <v>0</v>
      </c>
      <c r="O58" s="31">
        <v>0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3"/>
        <v>0</v>
      </c>
      <c r="Z58" s="32">
        <v>25000</v>
      </c>
      <c r="AA58" s="33">
        <v>2</v>
      </c>
      <c r="AB58" s="41">
        <v>44209</v>
      </c>
      <c r="AC58" s="89">
        <v>44249</v>
      </c>
      <c r="AD58" s="32"/>
      <c r="AE58" s="35"/>
      <c r="AF58" s="36"/>
      <c r="AG58" s="89"/>
      <c r="AH58" s="32"/>
      <c r="AI58" s="33"/>
      <c r="AJ58" s="36"/>
      <c r="AK58" s="89"/>
      <c r="AL58" s="32"/>
      <c r="AM58" s="33"/>
      <c r="AN58" s="36"/>
      <c r="AO58" s="89"/>
      <c r="AP58" s="32"/>
      <c r="AQ58" s="33"/>
      <c r="AR58" s="36"/>
      <c r="AS58" s="89"/>
      <c r="AT58" s="37">
        <f t="shared" si="4"/>
        <v>25000</v>
      </c>
      <c r="AU58" s="38">
        <f t="shared" si="5"/>
        <v>25000</v>
      </c>
    </row>
    <row r="59" spans="2:47" s="26" customFormat="1" ht="22.5" x14ac:dyDescent="0.25">
      <c r="B59" s="27">
        <v>44</v>
      </c>
      <c r="C59" s="27" t="s">
        <v>39</v>
      </c>
      <c r="D59" s="28">
        <v>30461624</v>
      </c>
      <c r="E59" s="29" t="s">
        <v>672</v>
      </c>
      <c r="F59" s="29" t="s">
        <v>60</v>
      </c>
      <c r="G59" s="30" t="s">
        <v>602</v>
      </c>
      <c r="H59" s="42" t="s">
        <v>671</v>
      </c>
      <c r="I59" s="88" t="s">
        <v>57</v>
      </c>
      <c r="J59" s="31">
        <v>43590</v>
      </c>
      <c r="K59" s="31">
        <v>12866</v>
      </c>
      <c r="L59" s="31">
        <v>0</v>
      </c>
      <c r="M59" s="160">
        <v>0</v>
      </c>
      <c r="N59" s="160">
        <v>0</v>
      </c>
      <c r="O59" s="31">
        <v>10800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3"/>
        <v>10800</v>
      </c>
      <c r="Z59" s="32">
        <v>25200</v>
      </c>
      <c r="AA59" s="33">
        <v>2</v>
      </c>
      <c r="AB59" s="41">
        <v>44209</v>
      </c>
      <c r="AC59" s="89">
        <v>44249</v>
      </c>
      <c r="AD59" s="32"/>
      <c r="AE59" s="35"/>
      <c r="AF59" s="36"/>
      <c r="AG59" s="89"/>
      <c r="AH59" s="32"/>
      <c r="AI59" s="33"/>
      <c r="AJ59" s="36"/>
      <c r="AK59" s="89"/>
      <c r="AL59" s="32"/>
      <c r="AM59" s="33"/>
      <c r="AN59" s="36"/>
      <c r="AO59" s="89"/>
      <c r="AP59" s="32"/>
      <c r="AQ59" s="33"/>
      <c r="AR59" s="36"/>
      <c r="AS59" s="89"/>
      <c r="AT59" s="37">
        <f t="shared" si="4"/>
        <v>25200</v>
      </c>
      <c r="AU59" s="38">
        <f t="shared" si="5"/>
        <v>14400</v>
      </c>
    </row>
    <row r="60" spans="2:47" s="26" customFormat="1" ht="33.75" x14ac:dyDescent="0.25">
      <c r="B60" s="27">
        <v>45</v>
      </c>
      <c r="C60" s="27" t="s">
        <v>39</v>
      </c>
      <c r="D60" s="28">
        <v>30462076</v>
      </c>
      <c r="E60" s="29" t="s">
        <v>670</v>
      </c>
      <c r="F60" s="29" t="s">
        <v>60</v>
      </c>
      <c r="G60" s="30" t="s">
        <v>602</v>
      </c>
      <c r="H60" s="42" t="s">
        <v>669</v>
      </c>
      <c r="I60" s="88" t="s">
        <v>57</v>
      </c>
      <c r="J60" s="31">
        <v>47975</v>
      </c>
      <c r="K60" s="31">
        <v>15086</v>
      </c>
      <c r="L60" s="31">
        <v>0</v>
      </c>
      <c r="M60" s="160">
        <v>0</v>
      </c>
      <c r="N60" s="160">
        <v>0</v>
      </c>
      <c r="O60" s="31">
        <v>13170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3"/>
        <v>13170</v>
      </c>
      <c r="Z60" s="32">
        <v>32889</v>
      </c>
      <c r="AA60" s="33">
        <v>2</v>
      </c>
      <c r="AB60" s="41">
        <v>44209</v>
      </c>
      <c r="AC60" s="89">
        <v>44249</v>
      </c>
      <c r="AD60" s="32"/>
      <c r="AE60" s="35"/>
      <c r="AF60" s="36"/>
      <c r="AG60" s="89"/>
      <c r="AH60" s="32"/>
      <c r="AI60" s="33"/>
      <c r="AJ60" s="36"/>
      <c r="AK60" s="89"/>
      <c r="AL60" s="32"/>
      <c r="AM60" s="33"/>
      <c r="AN60" s="36"/>
      <c r="AO60" s="89"/>
      <c r="AP60" s="32"/>
      <c r="AQ60" s="33"/>
      <c r="AR60" s="36"/>
      <c r="AS60" s="89"/>
      <c r="AT60" s="37">
        <f t="shared" si="4"/>
        <v>32889</v>
      </c>
      <c r="AU60" s="38">
        <f t="shared" si="5"/>
        <v>19719</v>
      </c>
    </row>
    <row r="61" spans="2:47" s="26" customFormat="1" ht="22.5" x14ac:dyDescent="0.25">
      <c r="B61" s="27">
        <v>46</v>
      </c>
      <c r="C61" s="27" t="s">
        <v>39</v>
      </c>
      <c r="D61" s="28">
        <v>30462674</v>
      </c>
      <c r="E61" s="29" t="s">
        <v>668</v>
      </c>
      <c r="F61" s="29" t="s">
        <v>60</v>
      </c>
      <c r="G61" s="30" t="s">
        <v>602</v>
      </c>
      <c r="H61" s="42" t="s">
        <v>667</v>
      </c>
      <c r="I61" s="88" t="s">
        <v>57</v>
      </c>
      <c r="J61" s="31">
        <v>512298</v>
      </c>
      <c r="K61" s="31">
        <v>421731</v>
      </c>
      <c r="L61" s="31">
        <v>0</v>
      </c>
      <c r="M61" s="160">
        <v>0</v>
      </c>
      <c r="N61" s="160">
        <v>0</v>
      </c>
      <c r="O61" s="31">
        <v>0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3"/>
        <v>0</v>
      </c>
      <c r="Z61" s="32">
        <v>90567</v>
      </c>
      <c r="AA61" s="33">
        <v>2</v>
      </c>
      <c r="AB61" s="41">
        <v>44209</v>
      </c>
      <c r="AC61" s="89">
        <v>44249</v>
      </c>
      <c r="AD61" s="32"/>
      <c r="AE61" s="35"/>
      <c r="AF61" s="36"/>
      <c r="AG61" s="89"/>
      <c r="AH61" s="32"/>
      <c r="AI61" s="33"/>
      <c r="AJ61" s="36"/>
      <c r="AK61" s="89"/>
      <c r="AL61" s="32"/>
      <c r="AM61" s="33"/>
      <c r="AN61" s="36"/>
      <c r="AO61" s="89"/>
      <c r="AP61" s="32"/>
      <c r="AQ61" s="33"/>
      <c r="AR61" s="36"/>
      <c r="AS61" s="89"/>
      <c r="AT61" s="37">
        <f t="shared" si="4"/>
        <v>90567</v>
      </c>
      <c r="AU61" s="38">
        <f t="shared" si="5"/>
        <v>90567</v>
      </c>
    </row>
    <row r="62" spans="2:47" s="26" customFormat="1" ht="22.5" x14ac:dyDescent="0.25">
      <c r="B62" s="27">
        <v>47</v>
      </c>
      <c r="C62" s="27" t="s">
        <v>39</v>
      </c>
      <c r="D62" s="28">
        <v>30475641</v>
      </c>
      <c r="E62" s="29" t="s">
        <v>666</v>
      </c>
      <c r="F62" s="29" t="s">
        <v>60</v>
      </c>
      <c r="G62" s="30" t="s">
        <v>602</v>
      </c>
      <c r="H62" s="42" t="s">
        <v>665</v>
      </c>
      <c r="I62" s="88" t="s">
        <v>72</v>
      </c>
      <c r="J62" s="31">
        <v>105095</v>
      </c>
      <c r="K62" s="31">
        <v>1621</v>
      </c>
      <c r="L62" s="31">
        <v>1</v>
      </c>
      <c r="M62" s="160">
        <v>0</v>
      </c>
      <c r="N62" s="160">
        <v>0</v>
      </c>
      <c r="O62" s="31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3"/>
        <v>0</v>
      </c>
      <c r="Z62" s="32">
        <v>40000</v>
      </c>
      <c r="AA62" s="33">
        <v>2</v>
      </c>
      <c r="AB62" s="41">
        <v>44209</v>
      </c>
      <c r="AC62" s="89">
        <v>44249</v>
      </c>
      <c r="AD62" s="32"/>
      <c r="AE62" s="35"/>
      <c r="AF62" s="36"/>
      <c r="AG62" s="89"/>
      <c r="AH62" s="32"/>
      <c r="AI62" s="33"/>
      <c r="AJ62" s="36"/>
      <c r="AK62" s="89"/>
      <c r="AL62" s="32"/>
      <c r="AM62" s="33"/>
      <c r="AN62" s="36"/>
      <c r="AO62" s="89"/>
      <c r="AP62" s="32"/>
      <c r="AQ62" s="33"/>
      <c r="AR62" s="36"/>
      <c r="AS62" s="89"/>
      <c r="AT62" s="37">
        <f t="shared" si="4"/>
        <v>40000</v>
      </c>
      <c r="AU62" s="38">
        <f t="shared" si="5"/>
        <v>40000</v>
      </c>
    </row>
    <row r="63" spans="2:47" s="26" customFormat="1" ht="22.5" x14ac:dyDescent="0.25">
      <c r="B63" s="27">
        <v>48</v>
      </c>
      <c r="C63" s="27" t="s">
        <v>39</v>
      </c>
      <c r="D63" s="28">
        <v>30485165</v>
      </c>
      <c r="E63" s="29" t="s">
        <v>664</v>
      </c>
      <c r="F63" s="29" t="s">
        <v>603</v>
      </c>
      <c r="G63" s="30" t="s">
        <v>602</v>
      </c>
      <c r="H63" s="42" t="s">
        <v>663</v>
      </c>
      <c r="I63" s="88" t="s">
        <v>72</v>
      </c>
      <c r="J63" s="31">
        <v>896775</v>
      </c>
      <c r="K63" s="31">
        <v>6421</v>
      </c>
      <c r="L63" s="31">
        <v>374128</v>
      </c>
      <c r="M63" s="160">
        <v>0</v>
      </c>
      <c r="N63" s="160">
        <v>0</v>
      </c>
      <c r="O63" s="31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3"/>
        <v>0</v>
      </c>
      <c r="Z63" s="32">
        <v>266226</v>
      </c>
      <c r="AA63" s="33">
        <v>2</v>
      </c>
      <c r="AB63" s="41">
        <v>44209</v>
      </c>
      <c r="AC63" s="89">
        <v>44249</v>
      </c>
      <c r="AD63" s="32"/>
      <c r="AE63" s="35"/>
      <c r="AF63" s="36"/>
      <c r="AG63" s="89"/>
      <c r="AH63" s="32"/>
      <c r="AI63" s="33"/>
      <c r="AJ63" s="36"/>
      <c r="AK63" s="89"/>
      <c r="AL63" s="32"/>
      <c r="AM63" s="33"/>
      <c r="AN63" s="36"/>
      <c r="AO63" s="89"/>
      <c r="AP63" s="32"/>
      <c r="AQ63" s="33"/>
      <c r="AR63" s="36"/>
      <c r="AS63" s="89"/>
      <c r="AT63" s="37">
        <f t="shared" si="4"/>
        <v>266226</v>
      </c>
      <c r="AU63" s="38">
        <f t="shared" si="5"/>
        <v>266226</v>
      </c>
    </row>
    <row r="64" spans="2:47" s="26" customFormat="1" ht="33.75" x14ac:dyDescent="0.25">
      <c r="B64" s="27">
        <v>49</v>
      </c>
      <c r="C64" s="27" t="s">
        <v>39</v>
      </c>
      <c r="D64" s="28">
        <v>30485246</v>
      </c>
      <c r="E64" s="29" t="s">
        <v>662</v>
      </c>
      <c r="F64" s="29" t="s">
        <v>60</v>
      </c>
      <c r="G64" s="30" t="s">
        <v>602</v>
      </c>
      <c r="H64" s="42" t="s">
        <v>626</v>
      </c>
      <c r="I64" s="88" t="s">
        <v>72</v>
      </c>
      <c r="J64" s="31">
        <v>735100</v>
      </c>
      <c r="K64" s="31">
        <v>0</v>
      </c>
      <c r="L64" s="31">
        <v>408839</v>
      </c>
      <c r="M64" s="160">
        <v>0</v>
      </c>
      <c r="N64" s="160">
        <v>0</v>
      </c>
      <c r="O64" s="31">
        <v>0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3"/>
        <v>0</v>
      </c>
      <c r="Z64" s="32">
        <v>326261</v>
      </c>
      <c r="AA64" s="33">
        <v>2</v>
      </c>
      <c r="AB64" s="41">
        <v>44209</v>
      </c>
      <c r="AC64" s="89">
        <v>44249</v>
      </c>
      <c r="AD64" s="32"/>
      <c r="AE64" s="35"/>
      <c r="AF64" s="36"/>
      <c r="AG64" s="89"/>
      <c r="AH64" s="32"/>
      <c r="AI64" s="33"/>
      <c r="AJ64" s="36"/>
      <c r="AK64" s="89"/>
      <c r="AL64" s="32"/>
      <c r="AM64" s="33"/>
      <c r="AN64" s="36"/>
      <c r="AO64" s="89"/>
      <c r="AP64" s="32"/>
      <c r="AQ64" s="33"/>
      <c r="AR64" s="36"/>
      <c r="AS64" s="89"/>
      <c r="AT64" s="37">
        <f t="shared" si="4"/>
        <v>326261</v>
      </c>
      <c r="AU64" s="38">
        <f t="shared" si="5"/>
        <v>326261</v>
      </c>
    </row>
    <row r="65" spans="2:47" s="26" customFormat="1" ht="22.5" x14ac:dyDescent="0.25">
      <c r="B65" s="27">
        <v>50</v>
      </c>
      <c r="C65" s="27" t="s">
        <v>39</v>
      </c>
      <c r="D65" s="28">
        <v>30485723</v>
      </c>
      <c r="E65" s="29" t="s">
        <v>661</v>
      </c>
      <c r="F65" s="29" t="s">
        <v>603</v>
      </c>
      <c r="G65" s="30" t="s">
        <v>602</v>
      </c>
      <c r="H65" s="42" t="s">
        <v>660</v>
      </c>
      <c r="I65" s="88" t="s">
        <v>57</v>
      </c>
      <c r="J65" s="31">
        <v>153288</v>
      </c>
      <c r="K65" s="31">
        <v>96507</v>
      </c>
      <c r="L65" s="31">
        <v>0</v>
      </c>
      <c r="M65" s="160">
        <v>0</v>
      </c>
      <c r="N65" s="160">
        <v>32227.534</v>
      </c>
      <c r="O65" s="31">
        <v>11627.496999999999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3"/>
        <v>43855.031000000003</v>
      </c>
      <c r="Z65" s="32">
        <v>56781</v>
      </c>
      <c r="AA65" s="33">
        <v>2</v>
      </c>
      <c r="AB65" s="41">
        <v>44209</v>
      </c>
      <c r="AC65" s="89">
        <v>44249</v>
      </c>
      <c r="AD65" s="32"/>
      <c r="AE65" s="35"/>
      <c r="AF65" s="36"/>
      <c r="AG65" s="89"/>
      <c r="AH65" s="32"/>
      <c r="AI65" s="33"/>
      <c r="AJ65" s="36"/>
      <c r="AK65" s="89"/>
      <c r="AL65" s="32"/>
      <c r="AM65" s="33"/>
      <c r="AN65" s="36"/>
      <c r="AO65" s="89"/>
      <c r="AP65" s="32"/>
      <c r="AQ65" s="33"/>
      <c r="AR65" s="36"/>
      <c r="AS65" s="89"/>
      <c r="AT65" s="37">
        <f t="shared" si="4"/>
        <v>56781</v>
      </c>
      <c r="AU65" s="38">
        <f t="shared" si="5"/>
        <v>12925.968999999997</v>
      </c>
    </row>
    <row r="66" spans="2:47" s="26" customFormat="1" ht="22.5" x14ac:dyDescent="0.25">
      <c r="B66" s="27">
        <v>51</v>
      </c>
      <c r="C66" s="27" t="s">
        <v>39</v>
      </c>
      <c r="D66" s="28">
        <v>40000189</v>
      </c>
      <c r="E66" s="29" t="s">
        <v>659</v>
      </c>
      <c r="F66" s="29" t="s">
        <v>603</v>
      </c>
      <c r="G66" s="30" t="s">
        <v>602</v>
      </c>
      <c r="H66" s="42" t="s">
        <v>616</v>
      </c>
      <c r="I66" s="88" t="s">
        <v>57</v>
      </c>
      <c r="J66" s="31">
        <v>272856</v>
      </c>
      <c r="K66" s="31">
        <v>252623</v>
      </c>
      <c r="L66" s="31">
        <v>0</v>
      </c>
      <c r="M66" s="160">
        <v>0</v>
      </c>
      <c r="N66" s="160">
        <v>0</v>
      </c>
      <c r="O66" s="31"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3"/>
        <v>0</v>
      </c>
      <c r="Z66" s="32">
        <v>10000</v>
      </c>
      <c r="AA66" s="33">
        <v>2</v>
      </c>
      <c r="AB66" s="41">
        <v>44209</v>
      </c>
      <c r="AC66" s="89">
        <v>44249</v>
      </c>
      <c r="AD66" s="32"/>
      <c r="AE66" s="35"/>
      <c r="AF66" s="36"/>
      <c r="AG66" s="89"/>
      <c r="AH66" s="32"/>
      <c r="AI66" s="33"/>
      <c r="AJ66" s="36"/>
      <c r="AK66" s="89"/>
      <c r="AL66" s="32"/>
      <c r="AM66" s="33"/>
      <c r="AN66" s="36"/>
      <c r="AO66" s="89"/>
      <c r="AP66" s="32"/>
      <c r="AQ66" s="33"/>
      <c r="AR66" s="36"/>
      <c r="AS66" s="89"/>
      <c r="AT66" s="37">
        <f t="shared" si="4"/>
        <v>10000</v>
      </c>
      <c r="AU66" s="38">
        <f t="shared" si="5"/>
        <v>10000</v>
      </c>
    </row>
    <row r="67" spans="2:47" s="26" customFormat="1" ht="22.5" x14ac:dyDescent="0.25">
      <c r="B67" s="27">
        <v>52</v>
      </c>
      <c r="C67" s="27" t="s">
        <v>39</v>
      </c>
      <c r="D67" s="28">
        <v>40001803</v>
      </c>
      <c r="E67" s="29" t="s">
        <v>658</v>
      </c>
      <c r="F67" s="29" t="s">
        <v>603</v>
      </c>
      <c r="G67" s="30" t="s">
        <v>602</v>
      </c>
      <c r="H67" s="42" t="s">
        <v>607</v>
      </c>
      <c r="I67" s="88" t="s">
        <v>57</v>
      </c>
      <c r="J67" s="31">
        <v>3973887</v>
      </c>
      <c r="K67" s="31">
        <v>16953</v>
      </c>
      <c r="L67" s="31">
        <v>2102655</v>
      </c>
      <c r="M67" s="160">
        <v>0</v>
      </c>
      <c r="N67" s="160">
        <v>0</v>
      </c>
      <c r="O67" s="31">
        <v>0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3"/>
        <v>0</v>
      </c>
      <c r="Z67" s="32">
        <v>800000</v>
      </c>
      <c r="AA67" s="33">
        <v>2</v>
      </c>
      <c r="AB67" s="41">
        <v>44209</v>
      </c>
      <c r="AC67" s="89">
        <v>44249</v>
      </c>
      <c r="AD67" s="32"/>
      <c r="AE67" s="35"/>
      <c r="AF67" s="36"/>
      <c r="AG67" s="89"/>
      <c r="AH67" s="32"/>
      <c r="AI67" s="33"/>
      <c r="AJ67" s="36"/>
      <c r="AK67" s="89"/>
      <c r="AL67" s="32"/>
      <c r="AM67" s="33"/>
      <c r="AN67" s="36"/>
      <c r="AO67" s="89"/>
      <c r="AP67" s="32"/>
      <c r="AQ67" s="33"/>
      <c r="AR67" s="36"/>
      <c r="AS67" s="89"/>
      <c r="AT67" s="37">
        <f t="shared" si="4"/>
        <v>800000</v>
      </c>
      <c r="AU67" s="38">
        <f t="shared" si="5"/>
        <v>800000</v>
      </c>
    </row>
    <row r="68" spans="2:47" s="26" customFormat="1" ht="22.5" x14ac:dyDescent="0.25">
      <c r="B68" s="27">
        <v>53</v>
      </c>
      <c r="C68" s="27" t="s">
        <v>39</v>
      </c>
      <c r="D68" s="28">
        <v>30078105</v>
      </c>
      <c r="E68" s="29" t="s">
        <v>657</v>
      </c>
      <c r="F68" s="29" t="s">
        <v>603</v>
      </c>
      <c r="G68" s="30" t="s">
        <v>602</v>
      </c>
      <c r="H68" s="42" t="s">
        <v>652</v>
      </c>
      <c r="I68" s="88" t="s">
        <v>72</v>
      </c>
      <c r="J68" s="31">
        <v>2696505</v>
      </c>
      <c r="K68" s="31">
        <v>14348</v>
      </c>
      <c r="L68" s="31">
        <v>2146110</v>
      </c>
      <c r="M68" s="160">
        <v>0</v>
      </c>
      <c r="N68" s="160">
        <v>0</v>
      </c>
      <c r="O68" s="31">
        <v>0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3"/>
        <v>0</v>
      </c>
      <c r="Z68" s="32">
        <v>1</v>
      </c>
      <c r="AA68" s="33">
        <v>3</v>
      </c>
      <c r="AB68" s="41">
        <v>44210</v>
      </c>
      <c r="AC68" s="89">
        <v>44237</v>
      </c>
      <c r="AD68" s="32"/>
      <c r="AE68" s="35"/>
      <c r="AF68" s="36"/>
      <c r="AG68" s="89"/>
      <c r="AH68" s="32"/>
      <c r="AI68" s="33"/>
      <c r="AJ68" s="36"/>
      <c r="AK68" s="89"/>
      <c r="AL68" s="32"/>
      <c r="AM68" s="33"/>
      <c r="AN68" s="36"/>
      <c r="AO68" s="89"/>
      <c r="AP68" s="32"/>
      <c r="AQ68" s="33"/>
      <c r="AR68" s="36"/>
      <c r="AS68" s="89"/>
      <c r="AT68" s="37">
        <f t="shared" si="4"/>
        <v>1</v>
      </c>
      <c r="AU68" s="38">
        <f t="shared" si="5"/>
        <v>1</v>
      </c>
    </row>
    <row r="69" spans="2:47" s="26" customFormat="1" x14ac:dyDescent="0.25">
      <c r="B69" s="27">
        <v>54</v>
      </c>
      <c r="C69" s="27" t="s">
        <v>39</v>
      </c>
      <c r="D69" s="28">
        <v>30110287</v>
      </c>
      <c r="E69" s="29" t="s">
        <v>656</v>
      </c>
      <c r="F69" s="29" t="s">
        <v>60</v>
      </c>
      <c r="G69" s="30" t="s">
        <v>602</v>
      </c>
      <c r="H69" s="42" t="s">
        <v>622</v>
      </c>
      <c r="I69" s="88" t="s">
        <v>57</v>
      </c>
      <c r="J69" s="31">
        <v>998073</v>
      </c>
      <c r="K69" s="31">
        <v>738359</v>
      </c>
      <c r="L69" s="31">
        <v>59714</v>
      </c>
      <c r="M69" s="160">
        <v>0</v>
      </c>
      <c r="N69" s="160">
        <v>0</v>
      </c>
      <c r="O69" s="31">
        <v>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3"/>
        <v>0</v>
      </c>
      <c r="Z69" s="32">
        <v>10000</v>
      </c>
      <c r="AA69" s="33">
        <v>3</v>
      </c>
      <c r="AB69" s="41">
        <v>44210</v>
      </c>
      <c r="AC69" s="89">
        <v>44237</v>
      </c>
      <c r="AD69" s="32"/>
      <c r="AE69" s="35"/>
      <c r="AF69" s="36"/>
      <c r="AG69" s="89"/>
      <c r="AH69" s="32"/>
      <c r="AI69" s="33"/>
      <c r="AJ69" s="36"/>
      <c r="AK69" s="89"/>
      <c r="AL69" s="32"/>
      <c r="AM69" s="33"/>
      <c r="AN69" s="36"/>
      <c r="AO69" s="89"/>
      <c r="AP69" s="32"/>
      <c r="AQ69" s="33"/>
      <c r="AR69" s="36"/>
      <c r="AS69" s="89"/>
      <c r="AT69" s="37">
        <f t="shared" si="4"/>
        <v>10000</v>
      </c>
      <c r="AU69" s="38">
        <f t="shared" si="5"/>
        <v>10000</v>
      </c>
    </row>
    <row r="70" spans="2:47" s="26" customFormat="1" ht="22.5" x14ac:dyDescent="0.25">
      <c r="B70" s="27">
        <v>55</v>
      </c>
      <c r="C70" s="27" t="s">
        <v>39</v>
      </c>
      <c r="D70" s="28">
        <v>30130356</v>
      </c>
      <c r="E70" s="29" t="s">
        <v>655</v>
      </c>
      <c r="F70" s="29" t="s">
        <v>60</v>
      </c>
      <c r="G70" s="30" t="s">
        <v>602</v>
      </c>
      <c r="H70" s="42" t="s">
        <v>654</v>
      </c>
      <c r="I70" s="88" t="s">
        <v>72</v>
      </c>
      <c r="J70" s="31">
        <v>145139</v>
      </c>
      <c r="K70" s="31">
        <v>1573</v>
      </c>
      <c r="L70" s="31">
        <v>63566</v>
      </c>
      <c r="M70" s="160">
        <v>0</v>
      </c>
      <c r="N70" s="160">
        <v>0</v>
      </c>
      <c r="O70" s="31">
        <v>0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3"/>
        <v>0</v>
      </c>
      <c r="Z70" s="32">
        <v>29000</v>
      </c>
      <c r="AA70" s="33">
        <v>3</v>
      </c>
      <c r="AB70" s="41">
        <v>44210</v>
      </c>
      <c r="AC70" s="89">
        <v>44237</v>
      </c>
      <c r="AD70" s="32"/>
      <c r="AE70" s="35"/>
      <c r="AF70" s="36"/>
      <c r="AG70" s="89"/>
      <c r="AH70" s="32"/>
      <c r="AI70" s="33"/>
      <c r="AJ70" s="36"/>
      <c r="AK70" s="89"/>
      <c r="AL70" s="32"/>
      <c r="AM70" s="33"/>
      <c r="AN70" s="36"/>
      <c r="AO70" s="89"/>
      <c r="AP70" s="32"/>
      <c r="AQ70" s="33"/>
      <c r="AR70" s="36"/>
      <c r="AS70" s="89"/>
      <c r="AT70" s="37">
        <f t="shared" si="4"/>
        <v>29000</v>
      </c>
      <c r="AU70" s="38">
        <f t="shared" si="5"/>
        <v>29000</v>
      </c>
    </row>
    <row r="71" spans="2:47" s="26" customFormat="1" ht="22.5" x14ac:dyDescent="0.25">
      <c r="B71" s="27">
        <v>56</v>
      </c>
      <c r="C71" s="27" t="s">
        <v>39</v>
      </c>
      <c r="D71" s="28">
        <v>30210123</v>
      </c>
      <c r="E71" s="29" t="s">
        <v>653</v>
      </c>
      <c r="F71" s="29" t="s">
        <v>603</v>
      </c>
      <c r="G71" s="30" t="s">
        <v>602</v>
      </c>
      <c r="H71" s="42" t="s">
        <v>652</v>
      </c>
      <c r="I71" s="88" t="s">
        <v>72</v>
      </c>
      <c r="J71" s="31">
        <v>1246724</v>
      </c>
      <c r="K71" s="31">
        <v>0</v>
      </c>
      <c r="L71" s="31">
        <v>1008550</v>
      </c>
      <c r="M71" s="160">
        <v>0</v>
      </c>
      <c r="N71" s="160">
        <v>0</v>
      </c>
      <c r="O71" s="31">
        <v>0</v>
      </c>
      <c r="P71" s="31"/>
      <c r="Q71" s="31"/>
      <c r="R71" s="31"/>
      <c r="S71" s="31" t="s">
        <v>651</v>
      </c>
      <c r="T71" s="31"/>
      <c r="U71" s="31"/>
      <c r="V71" s="31"/>
      <c r="W71" s="31"/>
      <c r="X71" s="31"/>
      <c r="Y71" s="31">
        <f t="shared" si="3"/>
        <v>0</v>
      </c>
      <c r="Z71" s="32">
        <v>1</v>
      </c>
      <c r="AA71" s="33">
        <v>3</v>
      </c>
      <c r="AB71" s="41">
        <v>44210</v>
      </c>
      <c r="AC71" s="89">
        <v>44237</v>
      </c>
      <c r="AD71" s="32"/>
      <c r="AE71" s="35"/>
      <c r="AF71" s="36"/>
      <c r="AG71" s="89"/>
      <c r="AH71" s="32"/>
      <c r="AI71" s="33"/>
      <c r="AJ71" s="36"/>
      <c r="AK71" s="89"/>
      <c r="AL71" s="32"/>
      <c r="AM71" s="33"/>
      <c r="AN71" s="36"/>
      <c r="AO71" s="89"/>
      <c r="AP71" s="32"/>
      <c r="AQ71" s="33"/>
      <c r="AR71" s="36"/>
      <c r="AS71" s="89"/>
      <c r="AT71" s="37">
        <f t="shared" si="4"/>
        <v>1</v>
      </c>
      <c r="AU71" s="38">
        <f t="shared" si="5"/>
        <v>1</v>
      </c>
    </row>
    <row r="72" spans="2:47" s="26" customFormat="1" ht="22.5" x14ac:dyDescent="0.25">
      <c r="B72" s="27">
        <v>57</v>
      </c>
      <c r="C72" s="27" t="s">
        <v>39</v>
      </c>
      <c r="D72" s="28">
        <v>30277573</v>
      </c>
      <c r="E72" s="29" t="s">
        <v>650</v>
      </c>
      <c r="F72" s="29" t="s">
        <v>603</v>
      </c>
      <c r="G72" s="30" t="s">
        <v>602</v>
      </c>
      <c r="H72" s="42" t="s">
        <v>649</v>
      </c>
      <c r="I72" s="88" t="s">
        <v>72</v>
      </c>
      <c r="J72" s="31">
        <v>1307477</v>
      </c>
      <c r="K72" s="31">
        <v>0</v>
      </c>
      <c r="L72" s="31">
        <v>1079115</v>
      </c>
      <c r="M72" s="160">
        <v>0</v>
      </c>
      <c r="N72" s="160">
        <v>0</v>
      </c>
      <c r="O72" s="31">
        <v>0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3"/>
        <v>0</v>
      </c>
      <c r="Z72" s="32">
        <v>8056</v>
      </c>
      <c r="AA72" s="33">
        <v>3</v>
      </c>
      <c r="AB72" s="41">
        <v>44210</v>
      </c>
      <c r="AC72" s="89">
        <v>44237</v>
      </c>
      <c r="AD72" s="32"/>
      <c r="AE72" s="35"/>
      <c r="AF72" s="36"/>
      <c r="AG72" s="89"/>
      <c r="AH72" s="32"/>
      <c r="AI72" s="33"/>
      <c r="AJ72" s="36"/>
      <c r="AK72" s="89"/>
      <c r="AL72" s="32"/>
      <c r="AM72" s="33"/>
      <c r="AN72" s="36"/>
      <c r="AO72" s="89"/>
      <c r="AP72" s="32"/>
      <c r="AQ72" s="33"/>
      <c r="AR72" s="36"/>
      <c r="AS72" s="89"/>
      <c r="AT72" s="37">
        <f t="shared" si="4"/>
        <v>8056</v>
      </c>
      <c r="AU72" s="38">
        <f t="shared" si="5"/>
        <v>8056</v>
      </c>
    </row>
    <row r="73" spans="2:47" s="26" customFormat="1" ht="22.5" x14ac:dyDescent="0.25">
      <c r="B73" s="27">
        <v>58</v>
      </c>
      <c r="C73" s="27" t="s">
        <v>39</v>
      </c>
      <c r="D73" s="28">
        <v>30474255</v>
      </c>
      <c r="E73" s="29" t="s">
        <v>648</v>
      </c>
      <c r="F73" s="29" t="s">
        <v>60</v>
      </c>
      <c r="G73" s="30" t="s">
        <v>602</v>
      </c>
      <c r="H73" s="42" t="s">
        <v>616</v>
      </c>
      <c r="I73" s="88" t="s">
        <v>72</v>
      </c>
      <c r="J73" s="31">
        <v>84867</v>
      </c>
      <c r="K73" s="31">
        <v>0</v>
      </c>
      <c r="L73" s="31">
        <v>0</v>
      </c>
      <c r="M73" s="160">
        <v>0</v>
      </c>
      <c r="N73" s="160">
        <v>0</v>
      </c>
      <c r="O73" s="31">
        <v>0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3"/>
        <v>0</v>
      </c>
      <c r="Z73" s="32">
        <v>16200</v>
      </c>
      <c r="AA73" s="33">
        <v>3</v>
      </c>
      <c r="AB73" s="41">
        <v>44210</v>
      </c>
      <c r="AC73" s="89">
        <v>44237</v>
      </c>
      <c r="AD73" s="32"/>
      <c r="AE73" s="35"/>
      <c r="AF73" s="36"/>
      <c r="AG73" s="89"/>
      <c r="AH73" s="32"/>
      <c r="AI73" s="33"/>
      <c r="AJ73" s="36"/>
      <c r="AK73" s="89"/>
      <c r="AL73" s="32"/>
      <c r="AM73" s="33"/>
      <c r="AN73" s="36"/>
      <c r="AO73" s="89"/>
      <c r="AP73" s="32"/>
      <c r="AQ73" s="33"/>
      <c r="AR73" s="36"/>
      <c r="AS73" s="89"/>
      <c r="AT73" s="37">
        <f t="shared" si="4"/>
        <v>16200</v>
      </c>
      <c r="AU73" s="38">
        <f t="shared" si="5"/>
        <v>16200</v>
      </c>
    </row>
    <row r="74" spans="2:47" s="26" customFormat="1" ht="33.75" x14ac:dyDescent="0.25">
      <c r="B74" s="27">
        <v>59</v>
      </c>
      <c r="C74" s="27" t="s">
        <v>39</v>
      </c>
      <c r="D74" s="28">
        <v>40002317</v>
      </c>
      <c r="E74" s="29" t="s">
        <v>647</v>
      </c>
      <c r="F74" s="29" t="s">
        <v>603</v>
      </c>
      <c r="G74" s="30" t="s">
        <v>602</v>
      </c>
      <c r="H74" s="42" t="s">
        <v>639</v>
      </c>
      <c r="I74" s="88" t="s">
        <v>57</v>
      </c>
      <c r="J74" s="31">
        <v>1728887</v>
      </c>
      <c r="K74" s="31">
        <v>1384141</v>
      </c>
      <c r="L74" s="31">
        <v>0</v>
      </c>
      <c r="M74" s="160">
        <v>0</v>
      </c>
      <c r="N74" s="160">
        <v>0</v>
      </c>
      <c r="O74" s="31">
        <v>0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3"/>
        <v>0</v>
      </c>
      <c r="Z74" s="32">
        <v>305000</v>
      </c>
      <c r="AA74" s="33">
        <v>3</v>
      </c>
      <c r="AB74" s="41">
        <v>44210</v>
      </c>
      <c r="AC74" s="89">
        <v>44237</v>
      </c>
      <c r="AD74" s="32"/>
      <c r="AE74" s="35"/>
      <c r="AF74" s="36"/>
      <c r="AG74" s="89"/>
      <c r="AH74" s="32"/>
      <c r="AI74" s="33"/>
      <c r="AJ74" s="36"/>
      <c r="AK74" s="89"/>
      <c r="AL74" s="32"/>
      <c r="AM74" s="33"/>
      <c r="AN74" s="36"/>
      <c r="AO74" s="89"/>
      <c r="AP74" s="32"/>
      <c r="AQ74" s="33"/>
      <c r="AR74" s="36"/>
      <c r="AS74" s="89"/>
      <c r="AT74" s="37">
        <f t="shared" si="4"/>
        <v>305000</v>
      </c>
      <c r="AU74" s="38">
        <f t="shared" si="5"/>
        <v>305000</v>
      </c>
    </row>
    <row r="75" spans="2:47" s="26" customFormat="1" ht="33.75" x14ac:dyDescent="0.25">
      <c r="B75" s="27">
        <v>60</v>
      </c>
      <c r="C75" s="27" t="s">
        <v>39</v>
      </c>
      <c r="D75" s="28">
        <v>40002326</v>
      </c>
      <c r="E75" s="29" t="s">
        <v>646</v>
      </c>
      <c r="F75" s="29" t="s">
        <v>603</v>
      </c>
      <c r="G75" s="30" t="s">
        <v>602</v>
      </c>
      <c r="H75" s="42" t="s">
        <v>645</v>
      </c>
      <c r="I75" s="88" t="s">
        <v>57</v>
      </c>
      <c r="J75" s="31">
        <v>1586569</v>
      </c>
      <c r="K75" s="31">
        <v>1101875</v>
      </c>
      <c r="L75" s="31">
        <v>0</v>
      </c>
      <c r="M75" s="160">
        <v>0</v>
      </c>
      <c r="N75" s="160">
        <v>0</v>
      </c>
      <c r="O75" s="31">
        <v>0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3"/>
        <v>0</v>
      </c>
      <c r="Z75" s="32">
        <v>444000</v>
      </c>
      <c r="AA75" s="33">
        <v>3</v>
      </c>
      <c r="AB75" s="41">
        <v>44210</v>
      </c>
      <c r="AC75" s="89">
        <v>44237</v>
      </c>
      <c r="AD75" s="32"/>
      <c r="AE75" s="35"/>
      <c r="AF75" s="36"/>
      <c r="AG75" s="89"/>
      <c r="AH75" s="32"/>
      <c r="AI75" s="33"/>
      <c r="AJ75" s="36"/>
      <c r="AK75" s="89"/>
      <c r="AL75" s="32"/>
      <c r="AM75" s="33"/>
      <c r="AN75" s="36"/>
      <c r="AO75" s="89"/>
      <c r="AP75" s="32"/>
      <c r="AQ75" s="33"/>
      <c r="AR75" s="36"/>
      <c r="AS75" s="89"/>
      <c r="AT75" s="37">
        <f t="shared" si="4"/>
        <v>444000</v>
      </c>
      <c r="AU75" s="38">
        <f t="shared" si="5"/>
        <v>444000</v>
      </c>
    </row>
    <row r="76" spans="2:47" s="26" customFormat="1" ht="22.5" x14ac:dyDescent="0.25">
      <c r="B76" s="27">
        <v>61</v>
      </c>
      <c r="C76" s="27" t="s">
        <v>39</v>
      </c>
      <c r="D76" s="28">
        <v>40002337</v>
      </c>
      <c r="E76" s="29" t="s">
        <v>644</v>
      </c>
      <c r="F76" s="29" t="s">
        <v>603</v>
      </c>
      <c r="G76" s="30" t="s">
        <v>602</v>
      </c>
      <c r="H76" s="42" t="s">
        <v>639</v>
      </c>
      <c r="I76" s="88" t="s">
        <v>72</v>
      </c>
      <c r="J76" s="31">
        <v>705752</v>
      </c>
      <c r="K76" s="31">
        <v>4721</v>
      </c>
      <c r="L76" s="31">
        <v>1031</v>
      </c>
      <c r="M76" s="160">
        <v>0</v>
      </c>
      <c r="N76" s="160">
        <v>450489.75199999998</v>
      </c>
      <c r="O76" s="31">
        <v>160710.97399999999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3"/>
        <v>611200.72600000002</v>
      </c>
      <c r="Z76" s="32">
        <v>542000</v>
      </c>
      <c r="AA76" s="33">
        <v>3</v>
      </c>
      <c r="AB76" s="41">
        <v>44210</v>
      </c>
      <c r="AC76" s="89">
        <v>44237</v>
      </c>
      <c r="AD76" s="32"/>
      <c r="AE76" s="35"/>
      <c r="AF76" s="36"/>
      <c r="AG76" s="89"/>
      <c r="AH76" s="32"/>
      <c r="AI76" s="33"/>
      <c r="AJ76" s="36"/>
      <c r="AK76" s="89"/>
      <c r="AL76" s="32"/>
      <c r="AM76" s="33"/>
      <c r="AN76" s="36"/>
      <c r="AO76" s="89"/>
      <c r="AP76" s="32"/>
      <c r="AQ76" s="33"/>
      <c r="AR76" s="36"/>
      <c r="AS76" s="89"/>
      <c r="AT76" s="37">
        <f t="shared" si="4"/>
        <v>542000</v>
      </c>
      <c r="AU76" s="162">
        <f t="shared" si="5"/>
        <v>-69200.726000000024</v>
      </c>
    </row>
    <row r="77" spans="2:47" s="26" customFormat="1" ht="33.75" x14ac:dyDescent="0.25">
      <c r="B77" s="27">
        <v>62</v>
      </c>
      <c r="C77" s="27" t="s">
        <v>39</v>
      </c>
      <c r="D77" s="28">
        <v>40002339</v>
      </c>
      <c r="E77" s="29" t="s">
        <v>643</v>
      </c>
      <c r="F77" s="29" t="s">
        <v>603</v>
      </c>
      <c r="G77" s="30" t="s">
        <v>602</v>
      </c>
      <c r="H77" s="42" t="s">
        <v>642</v>
      </c>
      <c r="I77" s="88" t="s">
        <v>57</v>
      </c>
      <c r="J77" s="31">
        <v>956569</v>
      </c>
      <c r="K77" s="31">
        <v>518506</v>
      </c>
      <c r="L77" s="31">
        <v>0</v>
      </c>
      <c r="M77" s="160">
        <v>0</v>
      </c>
      <c r="N77" s="160">
        <v>256658.299</v>
      </c>
      <c r="O77" s="31">
        <v>163871.88399999999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3"/>
        <v>420530.18299999996</v>
      </c>
      <c r="Z77" s="32">
        <v>357068</v>
      </c>
      <c r="AA77" s="33">
        <v>3</v>
      </c>
      <c r="AB77" s="41">
        <v>44210</v>
      </c>
      <c r="AC77" s="89">
        <v>44237</v>
      </c>
      <c r="AD77" s="32"/>
      <c r="AE77" s="35"/>
      <c r="AF77" s="36"/>
      <c r="AG77" s="89"/>
      <c r="AH77" s="32"/>
      <c r="AI77" s="33"/>
      <c r="AJ77" s="36"/>
      <c r="AK77" s="89"/>
      <c r="AL77" s="32"/>
      <c r="AM77" s="33"/>
      <c r="AN77" s="36"/>
      <c r="AO77" s="89"/>
      <c r="AP77" s="32"/>
      <c r="AQ77" s="33"/>
      <c r="AR77" s="36"/>
      <c r="AS77" s="89"/>
      <c r="AT77" s="37">
        <f t="shared" si="4"/>
        <v>357068</v>
      </c>
      <c r="AU77" s="162">
        <f t="shared" si="5"/>
        <v>-63462.182999999961</v>
      </c>
    </row>
    <row r="78" spans="2:47" s="26" customFormat="1" ht="22.5" x14ac:dyDescent="0.25">
      <c r="B78" s="27">
        <v>63</v>
      </c>
      <c r="C78" s="27" t="s">
        <v>39</v>
      </c>
      <c r="D78" s="28">
        <v>40003112</v>
      </c>
      <c r="E78" s="29" t="s">
        <v>641</v>
      </c>
      <c r="F78" s="29" t="s">
        <v>603</v>
      </c>
      <c r="G78" s="30" t="s">
        <v>602</v>
      </c>
      <c r="H78" s="42" t="s">
        <v>613</v>
      </c>
      <c r="I78" s="88" t="s">
        <v>72</v>
      </c>
      <c r="J78" s="31">
        <v>877271</v>
      </c>
      <c r="K78" s="31">
        <v>18873</v>
      </c>
      <c r="L78" s="31">
        <v>347997</v>
      </c>
      <c r="M78" s="160">
        <v>0</v>
      </c>
      <c r="N78" s="160">
        <v>40904.504999999997</v>
      </c>
      <c r="O78" s="31">
        <v>81809.009999999995</v>
      </c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3"/>
        <v>122713.51499999998</v>
      </c>
      <c r="Z78" s="32">
        <v>246000</v>
      </c>
      <c r="AA78" s="33">
        <v>3</v>
      </c>
      <c r="AB78" s="41">
        <v>44210</v>
      </c>
      <c r="AC78" s="89">
        <v>44237</v>
      </c>
      <c r="AD78" s="32"/>
      <c r="AE78" s="35"/>
      <c r="AF78" s="36"/>
      <c r="AG78" s="89"/>
      <c r="AH78" s="32"/>
      <c r="AI78" s="33"/>
      <c r="AJ78" s="36"/>
      <c r="AK78" s="89"/>
      <c r="AL78" s="32"/>
      <c r="AM78" s="33"/>
      <c r="AN78" s="36"/>
      <c r="AO78" s="89"/>
      <c r="AP78" s="32"/>
      <c r="AQ78" s="33"/>
      <c r="AR78" s="36"/>
      <c r="AS78" s="89"/>
      <c r="AT78" s="37">
        <f t="shared" si="4"/>
        <v>246000</v>
      </c>
      <c r="AU78" s="38">
        <f t="shared" si="5"/>
        <v>123286.48500000002</v>
      </c>
    </row>
    <row r="79" spans="2:47" s="26" customFormat="1" ht="22.5" x14ac:dyDescent="0.25">
      <c r="B79" s="27">
        <v>64</v>
      </c>
      <c r="C79" s="27" t="s">
        <v>39</v>
      </c>
      <c r="D79" s="28">
        <v>40003261</v>
      </c>
      <c r="E79" s="29" t="s">
        <v>640</v>
      </c>
      <c r="F79" s="29" t="s">
        <v>603</v>
      </c>
      <c r="G79" s="30" t="s">
        <v>602</v>
      </c>
      <c r="H79" s="42" t="s">
        <v>639</v>
      </c>
      <c r="I79" s="88" t="s">
        <v>72</v>
      </c>
      <c r="J79" s="31">
        <v>1385144</v>
      </c>
      <c r="K79" s="31">
        <v>4721</v>
      </c>
      <c r="L79" s="31">
        <v>283</v>
      </c>
      <c r="M79" s="160">
        <v>0</v>
      </c>
      <c r="N79" s="160">
        <v>341776.85399999999</v>
      </c>
      <c r="O79" s="31">
        <v>285063.005</v>
      </c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3"/>
        <v>626839.85899999994</v>
      </c>
      <c r="Z79" s="32">
        <v>716000</v>
      </c>
      <c r="AA79" s="33">
        <v>3</v>
      </c>
      <c r="AB79" s="41">
        <v>44210</v>
      </c>
      <c r="AC79" s="89">
        <v>44237</v>
      </c>
      <c r="AD79" s="32"/>
      <c r="AE79" s="35"/>
      <c r="AF79" s="36"/>
      <c r="AG79" s="89"/>
      <c r="AH79" s="32"/>
      <c r="AI79" s="33"/>
      <c r="AJ79" s="36"/>
      <c r="AK79" s="89"/>
      <c r="AL79" s="32"/>
      <c r="AM79" s="33"/>
      <c r="AN79" s="36"/>
      <c r="AO79" s="89"/>
      <c r="AP79" s="32"/>
      <c r="AQ79" s="33"/>
      <c r="AR79" s="36"/>
      <c r="AS79" s="89"/>
      <c r="AT79" s="37">
        <f t="shared" si="4"/>
        <v>716000</v>
      </c>
      <c r="AU79" s="38">
        <f t="shared" si="5"/>
        <v>89160.141000000061</v>
      </c>
    </row>
    <row r="80" spans="2:47" s="26" customFormat="1" x14ac:dyDescent="0.25">
      <c r="B80" s="27">
        <v>65</v>
      </c>
      <c r="C80" s="27" t="s">
        <v>39</v>
      </c>
      <c r="D80" s="28">
        <v>40005541</v>
      </c>
      <c r="E80" s="29" t="s">
        <v>638</v>
      </c>
      <c r="F80" s="29" t="s">
        <v>60</v>
      </c>
      <c r="G80" s="30" t="s">
        <v>602</v>
      </c>
      <c r="H80" s="42" t="s">
        <v>637</v>
      </c>
      <c r="I80" s="88" t="s">
        <v>57</v>
      </c>
      <c r="J80" s="31">
        <v>322712</v>
      </c>
      <c r="K80" s="31">
        <v>228027</v>
      </c>
      <c r="L80" s="31">
        <v>0</v>
      </c>
      <c r="M80" s="160">
        <v>0</v>
      </c>
      <c r="N80" s="160">
        <v>0</v>
      </c>
      <c r="O80" s="31">
        <v>0</v>
      </c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ref="Y80:Y100" si="6">SUM(M80:X80)</f>
        <v>0</v>
      </c>
      <c r="Z80" s="32">
        <v>17700</v>
      </c>
      <c r="AA80" s="33">
        <v>3</v>
      </c>
      <c r="AB80" s="41">
        <v>44210</v>
      </c>
      <c r="AC80" s="89">
        <v>44237</v>
      </c>
      <c r="AD80" s="32"/>
      <c r="AE80" s="35"/>
      <c r="AF80" s="36"/>
      <c r="AG80" s="89"/>
      <c r="AH80" s="32"/>
      <c r="AI80" s="33"/>
      <c r="AJ80" s="36"/>
      <c r="AK80" s="89"/>
      <c r="AL80" s="32"/>
      <c r="AM80" s="33"/>
      <c r="AN80" s="36"/>
      <c r="AO80" s="89"/>
      <c r="AP80" s="32"/>
      <c r="AQ80" s="33"/>
      <c r="AR80" s="36"/>
      <c r="AS80" s="89"/>
      <c r="AT80" s="37">
        <f t="shared" ref="AT80:AT100" si="7">+Z80+AD80+AH80+AL80+AP80</f>
        <v>17700</v>
      </c>
      <c r="AU80" s="38">
        <f t="shared" ref="AU80:AU100" si="8">+AT80-Y80</f>
        <v>17700</v>
      </c>
    </row>
    <row r="81" spans="2:47" s="26" customFormat="1" ht="22.5" x14ac:dyDescent="0.25">
      <c r="B81" s="27">
        <v>66</v>
      </c>
      <c r="C81" s="27" t="s">
        <v>39</v>
      </c>
      <c r="D81" s="28">
        <v>40005672</v>
      </c>
      <c r="E81" s="29" t="s">
        <v>636</v>
      </c>
      <c r="F81" s="29" t="s">
        <v>60</v>
      </c>
      <c r="G81" s="30" t="s">
        <v>602</v>
      </c>
      <c r="H81" s="42" t="s">
        <v>635</v>
      </c>
      <c r="I81" s="88" t="s">
        <v>57</v>
      </c>
      <c r="J81" s="31">
        <v>42249</v>
      </c>
      <c r="K81" s="31">
        <v>30249</v>
      </c>
      <c r="L81" s="31">
        <v>0</v>
      </c>
      <c r="M81" s="160">
        <v>0</v>
      </c>
      <c r="N81" s="160">
        <v>0</v>
      </c>
      <c r="O81" s="31">
        <v>0</v>
      </c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si="6"/>
        <v>0</v>
      </c>
      <c r="Z81" s="32">
        <v>12000</v>
      </c>
      <c r="AA81" s="33">
        <v>3</v>
      </c>
      <c r="AB81" s="41">
        <v>44210</v>
      </c>
      <c r="AC81" s="89">
        <v>44237</v>
      </c>
      <c r="AD81" s="32"/>
      <c r="AE81" s="35"/>
      <c r="AF81" s="36"/>
      <c r="AG81" s="89"/>
      <c r="AH81" s="32"/>
      <c r="AI81" s="33"/>
      <c r="AJ81" s="36"/>
      <c r="AK81" s="89"/>
      <c r="AL81" s="32"/>
      <c r="AM81" s="33"/>
      <c r="AN81" s="36"/>
      <c r="AO81" s="89"/>
      <c r="AP81" s="32"/>
      <c r="AQ81" s="33"/>
      <c r="AR81" s="36"/>
      <c r="AS81" s="89"/>
      <c r="AT81" s="37">
        <f t="shared" si="7"/>
        <v>12000</v>
      </c>
      <c r="AU81" s="38">
        <f t="shared" si="8"/>
        <v>12000</v>
      </c>
    </row>
    <row r="82" spans="2:47" s="26" customFormat="1" ht="22.5" x14ac:dyDescent="0.25">
      <c r="B82" s="27">
        <v>67</v>
      </c>
      <c r="C82" s="27" t="s">
        <v>39</v>
      </c>
      <c r="D82" s="28">
        <v>40006830</v>
      </c>
      <c r="E82" s="29" t="s">
        <v>634</v>
      </c>
      <c r="F82" s="29" t="s">
        <v>603</v>
      </c>
      <c r="G82" s="30" t="s">
        <v>602</v>
      </c>
      <c r="H82" s="42" t="s">
        <v>633</v>
      </c>
      <c r="I82" s="88" t="s">
        <v>57</v>
      </c>
      <c r="J82" s="31">
        <v>139481</v>
      </c>
      <c r="K82" s="31">
        <v>0</v>
      </c>
      <c r="L82" s="31">
        <v>0</v>
      </c>
      <c r="M82" s="160">
        <v>0</v>
      </c>
      <c r="N82" s="160">
        <v>0</v>
      </c>
      <c r="O82" s="31">
        <v>0</v>
      </c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6"/>
        <v>0</v>
      </c>
      <c r="Z82" s="32">
        <v>1</v>
      </c>
      <c r="AA82" s="33">
        <v>3</v>
      </c>
      <c r="AB82" s="41">
        <v>44210</v>
      </c>
      <c r="AC82" s="89">
        <v>44237</v>
      </c>
      <c r="AD82" s="32"/>
      <c r="AE82" s="35"/>
      <c r="AF82" s="36"/>
      <c r="AG82" s="89"/>
      <c r="AH82" s="32"/>
      <c r="AI82" s="33"/>
      <c r="AJ82" s="36"/>
      <c r="AK82" s="89"/>
      <c r="AL82" s="32"/>
      <c r="AM82" s="33"/>
      <c r="AN82" s="36"/>
      <c r="AO82" s="89"/>
      <c r="AP82" s="32"/>
      <c r="AQ82" s="33"/>
      <c r="AR82" s="36"/>
      <c r="AS82" s="89"/>
      <c r="AT82" s="37">
        <f t="shared" si="7"/>
        <v>1</v>
      </c>
      <c r="AU82" s="38">
        <f t="shared" si="8"/>
        <v>1</v>
      </c>
    </row>
    <row r="83" spans="2:47" s="26" customFormat="1" ht="22.5" x14ac:dyDescent="0.25">
      <c r="B83" s="27">
        <v>68</v>
      </c>
      <c r="C83" s="27" t="s">
        <v>39</v>
      </c>
      <c r="D83" s="28">
        <v>40012170</v>
      </c>
      <c r="E83" s="29" t="s">
        <v>632</v>
      </c>
      <c r="F83" s="29" t="s">
        <v>603</v>
      </c>
      <c r="G83" s="30" t="s">
        <v>602</v>
      </c>
      <c r="H83" s="42" t="s">
        <v>631</v>
      </c>
      <c r="I83" s="88" t="s">
        <v>72</v>
      </c>
      <c r="J83" s="31">
        <v>1938043</v>
      </c>
      <c r="K83" s="31">
        <v>921111</v>
      </c>
      <c r="L83" s="31">
        <v>1016932</v>
      </c>
      <c r="M83" s="160">
        <v>0</v>
      </c>
      <c r="N83" s="160">
        <v>0</v>
      </c>
      <c r="O83" s="31">
        <v>0</v>
      </c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6"/>
        <v>0</v>
      </c>
      <c r="Z83" s="32">
        <v>1</v>
      </c>
      <c r="AA83" s="33">
        <v>3</v>
      </c>
      <c r="AB83" s="41">
        <v>44210</v>
      </c>
      <c r="AC83" s="89">
        <v>44237</v>
      </c>
      <c r="AD83" s="32"/>
      <c r="AE83" s="35"/>
      <c r="AF83" s="36"/>
      <c r="AG83" s="89"/>
      <c r="AH83" s="32"/>
      <c r="AI83" s="33"/>
      <c r="AJ83" s="36"/>
      <c r="AK83" s="89"/>
      <c r="AL83" s="32"/>
      <c r="AM83" s="33"/>
      <c r="AN83" s="36"/>
      <c r="AO83" s="89"/>
      <c r="AP83" s="32"/>
      <c r="AQ83" s="33"/>
      <c r="AR83" s="36"/>
      <c r="AS83" s="89"/>
      <c r="AT83" s="37">
        <f t="shared" si="7"/>
        <v>1</v>
      </c>
      <c r="AU83" s="38">
        <f t="shared" si="8"/>
        <v>1</v>
      </c>
    </row>
    <row r="84" spans="2:47" s="26" customFormat="1" ht="22.5" x14ac:dyDescent="0.25">
      <c r="B84" s="27">
        <v>69</v>
      </c>
      <c r="C84" s="27" t="s">
        <v>39</v>
      </c>
      <c r="D84" s="28">
        <v>40017211</v>
      </c>
      <c r="E84" s="29" t="s">
        <v>630</v>
      </c>
      <c r="F84" s="29" t="s">
        <v>603</v>
      </c>
      <c r="G84" s="30" t="s">
        <v>602</v>
      </c>
      <c r="H84" s="42" t="s">
        <v>624</v>
      </c>
      <c r="I84" s="88" t="s">
        <v>72</v>
      </c>
      <c r="J84" s="31">
        <v>3386067</v>
      </c>
      <c r="K84" s="31">
        <v>10842</v>
      </c>
      <c r="L84" s="31">
        <v>2714986</v>
      </c>
      <c r="M84" s="160">
        <v>0</v>
      </c>
      <c r="N84" s="160">
        <v>0</v>
      </c>
      <c r="O84" s="31">
        <v>0</v>
      </c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6"/>
        <v>0</v>
      </c>
      <c r="Z84" s="32">
        <v>1</v>
      </c>
      <c r="AA84" s="33">
        <v>3</v>
      </c>
      <c r="AB84" s="41">
        <v>44210</v>
      </c>
      <c r="AC84" s="89">
        <v>44237</v>
      </c>
      <c r="AD84" s="32"/>
      <c r="AE84" s="35"/>
      <c r="AF84" s="36"/>
      <c r="AG84" s="89"/>
      <c r="AH84" s="32"/>
      <c r="AI84" s="33"/>
      <c r="AJ84" s="36"/>
      <c r="AK84" s="89"/>
      <c r="AL84" s="32"/>
      <c r="AM84" s="33"/>
      <c r="AN84" s="36"/>
      <c r="AO84" s="89"/>
      <c r="AP84" s="32"/>
      <c r="AQ84" s="33"/>
      <c r="AR84" s="36"/>
      <c r="AS84" s="89"/>
      <c r="AT84" s="37">
        <f t="shared" si="7"/>
        <v>1</v>
      </c>
      <c r="AU84" s="38">
        <f t="shared" si="8"/>
        <v>1</v>
      </c>
    </row>
    <row r="85" spans="2:47" s="26" customFormat="1" ht="22.5" x14ac:dyDescent="0.25">
      <c r="B85" s="27">
        <v>70</v>
      </c>
      <c r="C85" s="27" t="s">
        <v>39</v>
      </c>
      <c r="D85" s="28">
        <v>40018315</v>
      </c>
      <c r="E85" s="29" t="s">
        <v>629</v>
      </c>
      <c r="F85" s="29" t="s">
        <v>603</v>
      </c>
      <c r="G85" s="30" t="s">
        <v>602</v>
      </c>
      <c r="H85" s="42" t="s">
        <v>628</v>
      </c>
      <c r="I85" s="88" t="s">
        <v>72</v>
      </c>
      <c r="J85" s="31">
        <v>531126</v>
      </c>
      <c r="K85" s="31">
        <v>0</v>
      </c>
      <c r="L85" s="31">
        <v>323090</v>
      </c>
      <c r="M85" s="160">
        <v>0</v>
      </c>
      <c r="N85" s="160">
        <v>0</v>
      </c>
      <c r="O85" s="31">
        <v>0</v>
      </c>
      <c r="P85" s="31"/>
      <c r="Q85" s="31"/>
      <c r="R85" s="31"/>
      <c r="S85" s="31"/>
      <c r="T85" s="31"/>
      <c r="U85" s="31"/>
      <c r="V85" s="31"/>
      <c r="W85" s="31"/>
      <c r="X85" s="31"/>
      <c r="Y85" s="31">
        <f t="shared" si="6"/>
        <v>0</v>
      </c>
      <c r="Z85" s="32">
        <v>1500</v>
      </c>
      <c r="AA85" s="33">
        <v>3</v>
      </c>
      <c r="AB85" s="41">
        <v>44210</v>
      </c>
      <c r="AC85" s="89">
        <v>44237</v>
      </c>
      <c r="AD85" s="32"/>
      <c r="AE85" s="35"/>
      <c r="AF85" s="36"/>
      <c r="AG85" s="89"/>
      <c r="AH85" s="32"/>
      <c r="AI85" s="33"/>
      <c r="AJ85" s="36"/>
      <c r="AK85" s="89"/>
      <c r="AL85" s="32"/>
      <c r="AM85" s="33"/>
      <c r="AN85" s="36"/>
      <c r="AO85" s="89"/>
      <c r="AP85" s="32"/>
      <c r="AQ85" s="33"/>
      <c r="AR85" s="36"/>
      <c r="AS85" s="89"/>
      <c r="AT85" s="37">
        <f t="shared" si="7"/>
        <v>1500</v>
      </c>
      <c r="AU85" s="38">
        <f t="shared" si="8"/>
        <v>1500</v>
      </c>
    </row>
    <row r="86" spans="2:47" s="26" customFormat="1" ht="22.5" x14ac:dyDescent="0.25">
      <c r="B86" s="27">
        <v>71</v>
      </c>
      <c r="C86" s="27" t="s">
        <v>39</v>
      </c>
      <c r="D86" s="28">
        <v>30091584</v>
      </c>
      <c r="E86" s="29" t="s">
        <v>627</v>
      </c>
      <c r="F86" s="29" t="s">
        <v>603</v>
      </c>
      <c r="G86" s="30" t="s">
        <v>602</v>
      </c>
      <c r="H86" s="42" t="s">
        <v>626</v>
      </c>
      <c r="I86" s="88" t="s">
        <v>72</v>
      </c>
      <c r="J86" s="31">
        <v>2919589</v>
      </c>
      <c r="K86" s="31">
        <v>0</v>
      </c>
      <c r="L86" s="31">
        <v>2819588</v>
      </c>
      <c r="M86" s="160">
        <v>0</v>
      </c>
      <c r="N86" s="160">
        <v>0</v>
      </c>
      <c r="O86" s="31">
        <v>0</v>
      </c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si="6"/>
        <v>0</v>
      </c>
      <c r="Z86" s="32">
        <v>104908</v>
      </c>
      <c r="AA86" s="33">
        <v>4</v>
      </c>
      <c r="AB86" s="41">
        <v>44232</v>
      </c>
      <c r="AC86" s="89">
        <v>44252</v>
      </c>
      <c r="AD86" s="32"/>
      <c r="AE86" s="35"/>
      <c r="AF86" s="36"/>
      <c r="AG86" s="89"/>
      <c r="AH86" s="32"/>
      <c r="AI86" s="33"/>
      <c r="AJ86" s="36"/>
      <c r="AK86" s="89"/>
      <c r="AL86" s="32"/>
      <c r="AM86" s="33"/>
      <c r="AN86" s="36"/>
      <c r="AO86" s="89"/>
      <c r="AP86" s="32"/>
      <c r="AQ86" s="33"/>
      <c r="AR86" s="36"/>
      <c r="AS86" s="89"/>
      <c r="AT86" s="37">
        <f t="shared" si="7"/>
        <v>104908</v>
      </c>
      <c r="AU86" s="38">
        <f t="shared" si="8"/>
        <v>104908</v>
      </c>
    </row>
    <row r="87" spans="2:47" s="26" customFormat="1" ht="22.5" x14ac:dyDescent="0.25">
      <c r="B87" s="27">
        <v>72</v>
      </c>
      <c r="C87" s="27" t="s">
        <v>39</v>
      </c>
      <c r="D87" s="28">
        <v>30110361</v>
      </c>
      <c r="E87" s="29" t="s">
        <v>625</v>
      </c>
      <c r="F87" s="29" t="s">
        <v>603</v>
      </c>
      <c r="G87" s="30" t="s">
        <v>602</v>
      </c>
      <c r="H87" s="42" t="s">
        <v>624</v>
      </c>
      <c r="I87" s="88" t="s">
        <v>72</v>
      </c>
      <c r="J87" s="31">
        <v>1208181</v>
      </c>
      <c r="K87" s="31">
        <v>0</v>
      </c>
      <c r="L87" s="31">
        <v>18405</v>
      </c>
      <c r="M87" s="160">
        <v>0</v>
      </c>
      <c r="N87" s="160">
        <v>0</v>
      </c>
      <c r="O87" s="31">
        <v>0</v>
      </c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6"/>
        <v>0</v>
      </c>
      <c r="Z87" s="32">
        <v>8835</v>
      </c>
      <c r="AA87" s="33">
        <v>4</v>
      </c>
      <c r="AB87" s="41">
        <v>44232</v>
      </c>
      <c r="AC87" s="89">
        <v>44252</v>
      </c>
      <c r="AD87" s="32"/>
      <c r="AE87" s="35"/>
      <c r="AF87" s="36"/>
      <c r="AG87" s="89"/>
      <c r="AH87" s="32"/>
      <c r="AI87" s="33"/>
      <c r="AJ87" s="36"/>
      <c r="AK87" s="89"/>
      <c r="AL87" s="32"/>
      <c r="AM87" s="33"/>
      <c r="AN87" s="36"/>
      <c r="AO87" s="89"/>
      <c r="AP87" s="32"/>
      <c r="AQ87" s="33"/>
      <c r="AR87" s="36"/>
      <c r="AS87" s="89"/>
      <c r="AT87" s="37">
        <f t="shared" si="7"/>
        <v>8835</v>
      </c>
      <c r="AU87" s="38">
        <f t="shared" si="8"/>
        <v>8835</v>
      </c>
    </row>
    <row r="88" spans="2:47" s="26" customFormat="1" ht="22.5" x14ac:dyDescent="0.25">
      <c r="B88" s="27">
        <v>73</v>
      </c>
      <c r="C88" s="27" t="s">
        <v>39</v>
      </c>
      <c r="D88" s="28">
        <v>30133777</v>
      </c>
      <c r="E88" s="29" t="s">
        <v>623</v>
      </c>
      <c r="F88" s="29" t="s">
        <v>603</v>
      </c>
      <c r="G88" s="30" t="s">
        <v>602</v>
      </c>
      <c r="H88" s="42" t="s">
        <v>622</v>
      </c>
      <c r="I88" s="88" t="s">
        <v>72</v>
      </c>
      <c r="J88" s="31">
        <v>924536</v>
      </c>
      <c r="K88" s="31">
        <v>0</v>
      </c>
      <c r="L88" s="31">
        <v>516073</v>
      </c>
      <c r="M88" s="160">
        <v>0</v>
      </c>
      <c r="N88" s="160">
        <v>0</v>
      </c>
      <c r="O88" s="31">
        <v>0</v>
      </c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6"/>
        <v>0</v>
      </c>
      <c r="Z88" s="32">
        <v>8463</v>
      </c>
      <c r="AA88" s="33">
        <v>4</v>
      </c>
      <c r="AB88" s="41">
        <v>44232</v>
      </c>
      <c r="AC88" s="89">
        <v>44252</v>
      </c>
      <c r="AD88" s="32"/>
      <c r="AE88" s="35"/>
      <c r="AF88" s="36"/>
      <c r="AG88" s="89"/>
      <c r="AH88" s="32"/>
      <c r="AI88" s="33"/>
      <c r="AJ88" s="36"/>
      <c r="AK88" s="89"/>
      <c r="AL88" s="32"/>
      <c r="AM88" s="33"/>
      <c r="AN88" s="36"/>
      <c r="AO88" s="89"/>
      <c r="AP88" s="32"/>
      <c r="AQ88" s="33"/>
      <c r="AR88" s="36"/>
      <c r="AS88" s="89"/>
      <c r="AT88" s="37">
        <f t="shared" si="7"/>
        <v>8463</v>
      </c>
      <c r="AU88" s="38">
        <f t="shared" si="8"/>
        <v>8463</v>
      </c>
    </row>
    <row r="89" spans="2:47" s="26" customFormat="1" ht="22.5" x14ac:dyDescent="0.25">
      <c r="B89" s="27">
        <v>74</v>
      </c>
      <c r="C89" s="27" t="s">
        <v>39</v>
      </c>
      <c r="D89" s="28">
        <v>30135452</v>
      </c>
      <c r="E89" s="29" t="s">
        <v>621</v>
      </c>
      <c r="F89" s="29" t="s">
        <v>603</v>
      </c>
      <c r="G89" s="30" t="s">
        <v>602</v>
      </c>
      <c r="H89" s="42" t="s">
        <v>613</v>
      </c>
      <c r="I89" s="88" t="s">
        <v>72</v>
      </c>
      <c r="J89" s="31">
        <v>930401</v>
      </c>
      <c r="K89" s="31">
        <v>0</v>
      </c>
      <c r="L89" s="31">
        <v>245192</v>
      </c>
      <c r="M89" s="160">
        <v>0</v>
      </c>
      <c r="N89" s="160">
        <v>0</v>
      </c>
      <c r="O89" s="31">
        <v>0</v>
      </c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6"/>
        <v>0</v>
      </c>
      <c r="Z89" s="32">
        <v>1534</v>
      </c>
      <c r="AA89" s="33">
        <v>4</v>
      </c>
      <c r="AB89" s="41">
        <v>44232</v>
      </c>
      <c r="AC89" s="89">
        <v>44252</v>
      </c>
      <c r="AD89" s="32"/>
      <c r="AE89" s="35"/>
      <c r="AF89" s="36"/>
      <c r="AG89" s="89"/>
      <c r="AH89" s="32"/>
      <c r="AI89" s="33"/>
      <c r="AJ89" s="36"/>
      <c r="AK89" s="89"/>
      <c r="AL89" s="32"/>
      <c r="AM89" s="33"/>
      <c r="AN89" s="36"/>
      <c r="AO89" s="89"/>
      <c r="AP89" s="32"/>
      <c r="AQ89" s="33"/>
      <c r="AR89" s="36"/>
      <c r="AS89" s="89"/>
      <c r="AT89" s="37">
        <f t="shared" si="7"/>
        <v>1534</v>
      </c>
      <c r="AU89" s="38">
        <f t="shared" si="8"/>
        <v>1534</v>
      </c>
    </row>
    <row r="90" spans="2:47" s="26" customFormat="1" ht="22.5" x14ac:dyDescent="0.25">
      <c r="B90" s="27">
        <v>75</v>
      </c>
      <c r="C90" s="27" t="s">
        <v>39</v>
      </c>
      <c r="D90" s="28">
        <v>30396472</v>
      </c>
      <c r="E90" s="29" t="s">
        <v>620</v>
      </c>
      <c r="F90" s="29" t="s">
        <v>603</v>
      </c>
      <c r="G90" s="30" t="s">
        <v>602</v>
      </c>
      <c r="H90" s="42" t="s">
        <v>619</v>
      </c>
      <c r="I90" s="88" t="s">
        <v>72</v>
      </c>
      <c r="J90" s="31">
        <v>1003995</v>
      </c>
      <c r="K90" s="31">
        <v>0</v>
      </c>
      <c r="L90" s="31">
        <v>385861</v>
      </c>
      <c r="M90" s="160">
        <v>0</v>
      </c>
      <c r="N90" s="160">
        <v>0</v>
      </c>
      <c r="O90" s="31">
        <v>0</v>
      </c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6"/>
        <v>0</v>
      </c>
      <c r="Z90" s="32">
        <v>10122</v>
      </c>
      <c r="AA90" s="33">
        <v>4</v>
      </c>
      <c r="AB90" s="41">
        <v>44232</v>
      </c>
      <c r="AC90" s="89">
        <v>44252</v>
      </c>
      <c r="AD90" s="32"/>
      <c r="AE90" s="35"/>
      <c r="AF90" s="36"/>
      <c r="AG90" s="89"/>
      <c r="AH90" s="32"/>
      <c r="AI90" s="33"/>
      <c r="AJ90" s="36"/>
      <c r="AK90" s="89"/>
      <c r="AL90" s="32"/>
      <c r="AM90" s="33"/>
      <c r="AN90" s="36"/>
      <c r="AO90" s="89"/>
      <c r="AP90" s="32"/>
      <c r="AQ90" s="33"/>
      <c r="AR90" s="36"/>
      <c r="AS90" s="89"/>
      <c r="AT90" s="37">
        <f t="shared" si="7"/>
        <v>10122</v>
      </c>
      <c r="AU90" s="38">
        <f t="shared" si="8"/>
        <v>10122</v>
      </c>
    </row>
    <row r="91" spans="2:47" s="26" customFormat="1" ht="22.5" x14ac:dyDescent="0.25">
      <c r="B91" s="27">
        <v>76</v>
      </c>
      <c r="C91" s="27" t="s">
        <v>39</v>
      </c>
      <c r="D91" s="28">
        <v>30397143</v>
      </c>
      <c r="E91" s="29" t="s">
        <v>618</v>
      </c>
      <c r="F91" s="29" t="s">
        <v>603</v>
      </c>
      <c r="G91" s="30" t="s">
        <v>602</v>
      </c>
      <c r="H91" s="42" t="s">
        <v>607</v>
      </c>
      <c r="I91" s="88" t="s">
        <v>57</v>
      </c>
      <c r="J91" s="31">
        <v>1644754</v>
      </c>
      <c r="K91" s="31">
        <v>1074044</v>
      </c>
      <c r="L91" s="31">
        <v>0</v>
      </c>
      <c r="M91" s="160">
        <v>0</v>
      </c>
      <c r="N91" s="160">
        <v>0</v>
      </c>
      <c r="O91" s="31">
        <v>0</v>
      </c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6"/>
        <v>0</v>
      </c>
      <c r="Z91" s="32">
        <v>83181</v>
      </c>
      <c r="AA91" s="33">
        <v>4</v>
      </c>
      <c r="AB91" s="41">
        <v>44232</v>
      </c>
      <c r="AC91" s="89">
        <v>44252</v>
      </c>
      <c r="AD91" s="32"/>
      <c r="AE91" s="35"/>
      <c r="AF91" s="36"/>
      <c r="AG91" s="89"/>
      <c r="AH91" s="32"/>
      <c r="AI91" s="33"/>
      <c r="AJ91" s="36"/>
      <c r="AK91" s="89"/>
      <c r="AL91" s="32"/>
      <c r="AM91" s="33"/>
      <c r="AN91" s="36"/>
      <c r="AO91" s="89"/>
      <c r="AP91" s="32"/>
      <c r="AQ91" s="33"/>
      <c r="AR91" s="36"/>
      <c r="AS91" s="89"/>
      <c r="AT91" s="37">
        <f t="shared" si="7"/>
        <v>83181</v>
      </c>
      <c r="AU91" s="38">
        <f t="shared" si="8"/>
        <v>83181</v>
      </c>
    </row>
    <row r="92" spans="2:47" s="26" customFormat="1" ht="22.5" x14ac:dyDescent="0.25">
      <c r="B92" s="27">
        <v>77</v>
      </c>
      <c r="C92" s="27" t="s">
        <v>39</v>
      </c>
      <c r="D92" s="28">
        <v>30485089</v>
      </c>
      <c r="E92" s="29" t="s">
        <v>617</v>
      </c>
      <c r="F92" s="29" t="s">
        <v>60</v>
      </c>
      <c r="G92" s="30" t="s">
        <v>602</v>
      </c>
      <c r="H92" s="42" t="s">
        <v>616</v>
      </c>
      <c r="I92" s="88" t="s">
        <v>57</v>
      </c>
      <c r="J92" s="31">
        <v>19768</v>
      </c>
      <c r="K92" s="31">
        <v>13687</v>
      </c>
      <c r="L92" s="31">
        <v>0</v>
      </c>
      <c r="M92" s="160">
        <v>0</v>
      </c>
      <c r="N92" s="160">
        <v>0</v>
      </c>
      <c r="O92" s="31">
        <v>0</v>
      </c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6"/>
        <v>0</v>
      </c>
      <c r="Z92" s="32">
        <v>6080</v>
      </c>
      <c r="AA92" s="33">
        <v>4</v>
      </c>
      <c r="AB92" s="41">
        <v>44232</v>
      </c>
      <c r="AC92" s="89">
        <v>44252</v>
      </c>
      <c r="AD92" s="32"/>
      <c r="AE92" s="35"/>
      <c r="AF92" s="36"/>
      <c r="AG92" s="89"/>
      <c r="AH92" s="32"/>
      <c r="AI92" s="33"/>
      <c r="AJ92" s="36"/>
      <c r="AK92" s="89"/>
      <c r="AL92" s="32"/>
      <c r="AM92" s="33"/>
      <c r="AN92" s="36"/>
      <c r="AO92" s="89"/>
      <c r="AP92" s="32"/>
      <c r="AQ92" s="33"/>
      <c r="AR92" s="36"/>
      <c r="AS92" s="89"/>
      <c r="AT92" s="37">
        <f t="shared" si="7"/>
        <v>6080</v>
      </c>
      <c r="AU92" s="38">
        <f t="shared" si="8"/>
        <v>6080</v>
      </c>
    </row>
    <row r="93" spans="2:47" s="26" customFormat="1" ht="22.5" x14ac:dyDescent="0.25">
      <c r="B93" s="27">
        <v>78</v>
      </c>
      <c r="C93" s="27" t="s">
        <v>39</v>
      </c>
      <c r="D93" s="28">
        <v>30485225</v>
      </c>
      <c r="E93" s="29" t="s">
        <v>615</v>
      </c>
      <c r="F93" s="29" t="s">
        <v>603</v>
      </c>
      <c r="G93" s="30" t="s">
        <v>602</v>
      </c>
      <c r="H93" s="42" t="s">
        <v>610</v>
      </c>
      <c r="I93" s="88" t="s">
        <v>72</v>
      </c>
      <c r="J93" s="31">
        <v>1899207</v>
      </c>
      <c r="K93" s="31">
        <v>3325</v>
      </c>
      <c r="L93" s="31">
        <v>1639882</v>
      </c>
      <c r="M93" s="160">
        <v>0</v>
      </c>
      <c r="N93" s="160">
        <v>0</v>
      </c>
      <c r="O93" s="31">
        <v>0</v>
      </c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6"/>
        <v>0</v>
      </c>
      <c r="Z93" s="32">
        <v>3325</v>
      </c>
      <c r="AA93" s="33">
        <v>4</v>
      </c>
      <c r="AB93" s="41">
        <v>44232</v>
      </c>
      <c r="AC93" s="89">
        <v>44252</v>
      </c>
      <c r="AD93" s="32"/>
      <c r="AE93" s="35"/>
      <c r="AF93" s="36"/>
      <c r="AG93" s="89"/>
      <c r="AH93" s="32"/>
      <c r="AI93" s="33"/>
      <c r="AJ93" s="36"/>
      <c r="AK93" s="89"/>
      <c r="AL93" s="32"/>
      <c r="AM93" s="33"/>
      <c r="AN93" s="36"/>
      <c r="AO93" s="89"/>
      <c r="AP93" s="32"/>
      <c r="AQ93" s="33"/>
      <c r="AR93" s="36"/>
      <c r="AS93" s="89"/>
      <c r="AT93" s="37">
        <f t="shared" si="7"/>
        <v>3325</v>
      </c>
      <c r="AU93" s="38">
        <f t="shared" si="8"/>
        <v>3325</v>
      </c>
    </row>
    <row r="94" spans="2:47" s="26" customFormat="1" ht="22.5" x14ac:dyDescent="0.25">
      <c r="B94" s="27">
        <v>79</v>
      </c>
      <c r="C94" s="27" t="s">
        <v>39</v>
      </c>
      <c r="D94" s="28">
        <v>40009195</v>
      </c>
      <c r="E94" s="29" t="s">
        <v>614</v>
      </c>
      <c r="F94" s="29" t="s">
        <v>603</v>
      </c>
      <c r="G94" s="30" t="s">
        <v>602</v>
      </c>
      <c r="H94" s="42" t="s">
        <v>613</v>
      </c>
      <c r="I94" s="88" t="s">
        <v>72</v>
      </c>
      <c r="J94" s="31">
        <v>630924</v>
      </c>
      <c r="K94" s="31">
        <v>1080</v>
      </c>
      <c r="L94" s="31">
        <v>44660</v>
      </c>
      <c r="M94" s="160">
        <v>0</v>
      </c>
      <c r="N94" s="160">
        <v>0</v>
      </c>
      <c r="O94" s="31">
        <v>0</v>
      </c>
      <c r="P94" s="31"/>
      <c r="Q94" s="31"/>
      <c r="R94" s="31"/>
      <c r="S94" s="31"/>
      <c r="T94" s="31"/>
      <c r="U94" s="31"/>
      <c r="V94" s="31"/>
      <c r="W94" s="31"/>
      <c r="X94" s="31"/>
      <c r="Y94" s="31">
        <f t="shared" si="6"/>
        <v>0</v>
      </c>
      <c r="Z94" s="32">
        <v>1080</v>
      </c>
      <c r="AA94" s="33">
        <v>4</v>
      </c>
      <c r="AB94" s="41">
        <v>44232</v>
      </c>
      <c r="AC94" s="89">
        <v>44252</v>
      </c>
      <c r="AD94" s="32"/>
      <c r="AE94" s="35"/>
      <c r="AF94" s="36"/>
      <c r="AG94" s="89"/>
      <c r="AH94" s="32"/>
      <c r="AI94" s="33"/>
      <c r="AJ94" s="36"/>
      <c r="AK94" s="89"/>
      <c r="AL94" s="32"/>
      <c r="AM94" s="33"/>
      <c r="AN94" s="36"/>
      <c r="AO94" s="89"/>
      <c r="AP94" s="32"/>
      <c r="AQ94" s="33"/>
      <c r="AR94" s="36"/>
      <c r="AS94" s="89"/>
      <c r="AT94" s="37">
        <f t="shared" si="7"/>
        <v>1080</v>
      </c>
      <c r="AU94" s="38">
        <f t="shared" si="8"/>
        <v>1080</v>
      </c>
    </row>
    <row r="95" spans="2:47" s="26" customFormat="1" ht="22.5" x14ac:dyDescent="0.25">
      <c r="B95" s="27">
        <v>80</v>
      </c>
      <c r="C95" s="27" t="s">
        <v>39</v>
      </c>
      <c r="D95" s="28">
        <v>40015372</v>
      </c>
      <c r="E95" s="29" t="s">
        <v>612</v>
      </c>
      <c r="F95" s="29" t="s">
        <v>603</v>
      </c>
      <c r="G95" s="30" t="s">
        <v>602</v>
      </c>
      <c r="H95" s="42" t="s">
        <v>605</v>
      </c>
      <c r="I95" s="88" t="s">
        <v>72</v>
      </c>
      <c r="J95" s="31">
        <v>1207428</v>
      </c>
      <c r="K95" s="31">
        <v>0</v>
      </c>
      <c r="L95" s="31">
        <v>641019</v>
      </c>
      <c r="M95" s="160">
        <v>0</v>
      </c>
      <c r="N95" s="160">
        <v>0</v>
      </c>
      <c r="O95" s="31">
        <v>0</v>
      </c>
      <c r="P95" s="31"/>
      <c r="Q95" s="31"/>
      <c r="R95" s="31"/>
      <c r="S95" s="31"/>
      <c r="T95" s="31"/>
      <c r="U95" s="31"/>
      <c r="V95" s="31"/>
      <c r="W95" s="31"/>
      <c r="X95" s="31"/>
      <c r="Y95" s="31">
        <f t="shared" si="6"/>
        <v>0</v>
      </c>
      <c r="Z95" s="32">
        <v>2098</v>
      </c>
      <c r="AA95" s="33">
        <v>4</v>
      </c>
      <c r="AB95" s="41">
        <v>44232</v>
      </c>
      <c r="AC95" s="89">
        <v>44252</v>
      </c>
      <c r="AD95" s="32"/>
      <c r="AE95" s="35"/>
      <c r="AF95" s="36"/>
      <c r="AG95" s="89"/>
      <c r="AH95" s="32"/>
      <c r="AI95" s="33"/>
      <c r="AJ95" s="36"/>
      <c r="AK95" s="89"/>
      <c r="AL95" s="32"/>
      <c r="AM95" s="33"/>
      <c r="AN95" s="36"/>
      <c r="AO95" s="89"/>
      <c r="AP95" s="32"/>
      <c r="AQ95" s="33"/>
      <c r="AR95" s="36"/>
      <c r="AS95" s="89"/>
      <c r="AT95" s="37">
        <f t="shared" si="7"/>
        <v>2098</v>
      </c>
      <c r="AU95" s="38">
        <f t="shared" si="8"/>
        <v>2098</v>
      </c>
    </row>
    <row r="96" spans="2:47" s="26" customFormat="1" ht="22.5" x14ac:dyDescent="0.25">
      <c r="B96" s="27">
        <v>81</v>
      </c>
      <c r="C96" s="27" t="s">
        <v>39</v>
      </c>
      <c r="D96" s="28">
        <v>40015433</v>
      </c>
      <c r="E96" s="29" t="s">
        <v>611</v>
      </c>
      <c r="F96" s="29" t="s">
        <v>603</v>
      </c>
      <c r="G96" s="30" t="s">
        <v>602</v>
      </c>
      <c r="H96" s="42" t="s">
        <v>610</v>
      </c>
      <c r="I96" s="88" t="s">
        <v>72</v>
      </c>
      <c r="J96" s="31">
        <v>1055611</v>
      </c>
      <c r="K96" s="31">
        <v>0</v>
      </c>
      <c r="L96" s="31">
        <v>522091</v>
      </c>
      <c r="M96" s="160">
        <v>0</v>
      </c>
      <c r="N96" s="160">
        <v>0</v>
      </c>
      <c r="O96" s="31">
        <v>0</v>
      </c>
      <c r="P96" s="31"/>
      <c r="Q96" s="31"/>
      <c r="R96" s="31"/>
      <c r="S96" s="31"/>
      <c r="T96" s="31"/>
      <c r="U96" s="31"/>
      <c r="V96" s="31"/>
      <c r="W96" s="31"/>
      <c r="X96" s="31"/>
      <c r="Y96" s="31">
        <f t="shared" si="6"/>
        <v>0</v>
      </c>
      <c r="Z96" s="32">
        <v>2623</v>
      </c>
      <c r="AA96" s="33">
        <v>4</v>
      </c>
      <c r="AB96" s="41">
        <v>44232</v>
      </c>
      <c r="AC96" s="89">
        <v>44252</v>
      </c>
      <c r="AD96" s="32"/>
      <c r="AE96" s="35"/>
      <c r="AF96" s="36"/>
      <c r="AG96" s="89"/>
      <c r="AH96" s="32"/>
      <c r="AI96" s="33"/>
      <c r="AJ96" s="36"/>
      <c r="AK96" s="89"/>
      <c r="AL96" s="32"/>
      <c r="AM96" s="33"/>
      <c r="AN96" s="36"/>
      <c r="AO96" s="89"/>
      <c r="AP96" s="32"/>
      <c r="AQ96" s="33"/>
      <c r="AR96" s="36"/>
      <c r="AS96" s="89"/>
      <c r="AT96" s="37">
        <f t="shared" si="7"/>
        <v>2623</v>
      </c>
      <c r="AU96" s="38">
        <f t="shared" si="8"/>
        <v>2623</v>
      </c>
    </row>
    <row r="97" spans="2:47" s="26" customFormat="1" ht="22.5" x14ac:dyDescent="0.25">
      <c r="B97" s="27">
        <v>82</v>
      </c>
      <c r="C97" s="27" t="s">
        <v>39</v>
      </c>
      <c r="D97" s="28">
        <v>40015818</v>
      </c>
      <c r="E97" s="29" t="s">
        <v>609</v>
      </c>
      <c r="F97" s="29" t="s">
        <v>603</v>
      </c>
      <c r="G97" s="30" t="s">
        <v>602</v>
      </c>
      <c r="H97" s="42" t="s">
        <v>93</v>
      </c>
      <c r="I97" s="88" t="s">
        <v>72</v>
      </c>
      <c r="J97" s="31">
        <v>3149706</v>
      </c>
      <c r="K97" s="31">
        <v>3067</v>
      </c>
      <c r="L97" s="31">
        <v>1067908</v>
      </c>
      <c r="M97" s="160">
        <v>0</v>
      </c>
      <c r="N97" s="160">
        <v>0</v>
      </c>
      <c r="O97" s="31">
        <v>0</v>
      </c>
      <c r="P97" s="31"/>
      <c r="Q97" s="31"/>
      <c r="R97" s="31"/>
      <c r="S97" s="31"/>
      <c r="T97" s="31"/>
      <c r="U97" s="31"/>
      <c r="V97" s="31"/>
      <c r="W97" s="31"/>
      <c r="X97" s="31"/>
      <c r="Y97" s="31">
        <f t="shared" si="6"/>
        <v>0</v>
      </c>
      <c r="Z97" s="32">
        <v>12270</v>
      </c>
      <c r="AA97" s="33">
        <v>4</v>
      </c>
      <c r="AB97" s="41">
        <v>44232</v>
      </c>
      <c r="AC97" s="89">
        <v>44252</v>
      </c>
      <c r="AD97" s="32"/>
      <c r="AE97" s="35"/>
      <c r="AF97" s="36"/>
      <c r="AG97" s="89"/>
      <c r="AH97" s="32"/>
      <c r="AI97" s="33"/>
      <c r="AJ97" s="36"/>
      <c r="AK97" s="89"/>
      <c r="AL97" s="32"/>
      <c r="AM97" s="33"/>
      <c r="AN97" s="36"/>
      <c r="AO97" s="89"/>
      <c r="AP97" s="32"/>
      <c r="AQ97" s="33"/>
      <c r="AR97" s="36"/>
      <c r="AS97" s="89"/>
      <c r="AT97" s="37">
        <f t="shared" si="7"/>
        <v>12270</v>
      </c>
      <c r="AU97" s="38">
        <f t="shared" si="8"/>
        <v>12270</v>
      </c>
    </row>
    <row r="98" spans="2:47" s="26" customFormat="1" ht="22.5" x14ac:dyDescent="0.25">
      <c r="B98" s="27">
        <v>83</v>
      </c>
      <c r="C98" s="27" t="s">
        <v>39</v>
      </c>
      <c r="D98" s="28">
        <v>40019595</v>
      </c>
      <c r="E98" s="29" t="s">
        <v>608</v>
      </c>
      <c r="F98" s="29" t="s">
        <v>603</v>
      </c>
      <c r="G98" s="30" t="s">
        <v>602</v>
      </c>
      <c r="H98" s="42" t="s">
        <v>607</v>
      </c>
      <c r="I98" s="88" t="s">
        <v>72</v>
      </c>
      <c r="J98" s="31">
        <v>1739031</v>
      </c>
      <c r="K98" s="31">
        <v>0</v>
      </c>
      <c r="L98" s="31">
        <v>0</v>
      </c>
      <c r="M98" s="160">
        <v>0</v>
      </c>
      <c r="N98" s="160">
        <v>0</v>
      </c>
      <c r="O98" s="31">
        <v>0</v>
      </c>
      <c r="P98" s="31"/>
      <c r="Q98" s="31"/>
      <c r="R98" s="31"/>
      <c r="S98" s="31"/>
      <c r="T98" s="31"/>
      <c r="U98" s="31"/>
      <c r="V98" s="31"/>
      <c r="W98" s="31"/>
      <c r="X98" s="31"/>
      <c r="Y98" s="31">
        <f t="shared" si="6"/>
        <v>0</v>
      </c>
      <c r="Z98" s="32">
        <v>27336</v>
      </c>
      <c r="AA98" s="33">
        <v>4</v>
      </c>
      <c r="AB98" s="41">
        <v>44232</v>
      </c>
      <c r="AC98" s="89">
        <v>44252</v>
      </c>
      <c r="AD98" s="32"/>
      <c r="AE98" s="35"/>
      <c r="AF98" s="36"/>
      <c r="AG98" s="89"/>
      <c r="AH98" s="32"/>
      <c r="AI98" s="33"/>
      <c r="AJ98" s="36"/>
      <c r="AK98" s="89"/>
      <c r="AL98" s="32"/>
      <c r="AM98" s="33"/>
      <c r="AN98" s="36"/>
      <c r="AO98" s="89"/>
      <c r="AP98" s="32"/>
      <c r="AQ98" s="33"/>
      <c r="AR98" s="36"/>
      <c r="AS98" s="89"/>
      <c r="AT98" s="37">
        <f t="shared" si="7"/>
        <v>27336</v>
      </c>
      <c r="AU98" s="38">
        <f t="shared" si="8"/>
        <v>27336</v>
      </c>
    </row>
    <row r="99" spans="2:47" s="26" customFormat="1" ht="22.5" x14ac:dyDescent="0.25">
      <c r="B99" s="27">
        <v>84</v>
      </c>
      <c r="C99" s="27" t="s">
        <v>39</v>
      </c>
      <c r="D99" s="28">
        <v>40024085</v>
      </c>
      <c r="E99" s="29" t="s">
        <v>606</v>
      </c>
      <c r="F99" s="29" t="s">
        <v>603</v>
      </c>
      <c r="G99" s="30" t="s">
        <v>602</v>
      </c>
      <c r="H99" s="42" t="s">
        <v>605</v>
      </c>
      <c r="I99" s="88" t="s">
        <v>72</v>
      </c>
      <c r="J99" s="31">
        <v>2471575</v>
      </c>
      <c r="K99" s="31">
        <v>0</v>
      </c>
      <c r="L99" s="31">
        <v>2461575</v>
      </c>
      <c r="M99" s="31">
        <v>0</v>
      </c>
      <c r="N99" s="31">
        <v>0</v>
      </c>
      <c r="O99" s="31">
        <v>0</v>
      </c>
      <c r="P99" s="31"/>
      <c r="Q99" s="31"/>
      <c r="R99" s="31"/>
      <c r="S99" s="31"/>
      <c r="T99" s="31"/>
      <c r="U99" s="31"/>
      <c r="V99" s="31"/>
      <c r="W99" s="31"/>
      <c r="X99" s="31"/>
      <c r="Y99" s="31">
        <f t="shared" si="6"/>
        <v>0</v>
      </c>
      <c r="Z99" s="32">
        <v>1</v>
      </c>
      <c r="AA99" s="33">
        <v>4</v>
      </c>
      <c r="AB99" s="41">
        <v>44232</v>
      </c>
      <c r="AC99" s="89">
        <v>44252</v>
      </c>
      <c r="AD99" s="32"/>
      <c r="AE99" s="35"/>
      <c r="AF99" s="36"/>
      <c r="AG99" s="89"/>
      <c r="AH99" s="32"/>
      <c r="AI99" s="33"/>
      <c r="AJ99" s="36"/>
      <c r="AK99" s="89"/>
      <c r="AL99" s="32"/>
      <c r="AM99" s="33"/>
      <c r="AN99" s="36"/>
      <c r="AO99" s="89"/>
      <c r="AP99" s="32"/>
      <c r="AQ99" s="33"/>
      <c r="AR99" s="36"/>
      <c r="AS99" s="89"/>
      <c r="AT99" s="37">
        <f t="shared" si="7"/>
        <v>1</v>
      </c>
      <c r="AU99" s="38">
        <f t="shared" si="8"/>
        <v>1</v>
      </c>
    </row>
    <row r="100" spans="2:47" s="26" customFormat="1" ht="22.5" x14ac:dyDescent="0.25">
      <c r="B100" s="27">
        <v>85</v>
      </c>
      <c r="C100" s="27" t="s">
        <v>39</v>
      </c>
      <c r="D100" s="28">
        <v>40024088</v>
      </c>
      <c r="E100" s="29" t="s">
        <v>604</v>
      </c>
      <c r="F100" s="29" t="s">
        <v>603</v>
      </c>
      <c r="G100" s="30" t="s">
        <v>602</v>
      </c>
      <c r="H100" s="42" t="s">
        <v>601</v>
      </c>
      <c r="I100" s="88" t="s">
        <v>72</v>
      </c>
      <c r="J100" s="31">
        <v>2171507</v>
      </c>
      <c r="K100" s="31">
        <v>0</v>
      </c>
      <c r="L100" s="31">
        <v>2161507</v>
      </c>
      <c r="M100" s="31">
        <v>0</v>
      </c>
      <c r="N100" s="31">
        <v>0</v>
      </c>
      <c r="O100" s="31">
        <v>0</v>
      </c>
      <c r="P100" s="31"/>
      <c r="Q100" s="31"/>
      <c r="R100" s="31"/>
      <c r="S100" s="31"/>
      <c r="T100" s="31"/>
      <c r="U100" s="31"/>
      <c r="V100" s="31"/>
      <c r="W100" s="31"/>
      <c r="X100" s="31"/>
      <c r="Y100" s="31">
        <f t="shared" si="6"/>
        <v>0</v>
      </c>
      <c r="Z100" s="32">
        <v>1</v>
      </c>
      <c r="AA100" s="33">
        <v>4</v>
      </c>
      <c r="AB100" s="41">
        <v>44232</v>
      </c>
      <c r="AC100" s="89">
        <v>44252</v>
      </c>
      <c r="AD100" s="32"/>
      <c r="AE100" s="35"/>
      <c r="AF100" s="36"/>
      <c r="AG100" s="89"/>
      <c r="AH100" s="32"/>
      <c r="AI100" s="33"/>
      <c r="AJ100" s="36"/>
      <c r="AK100" s="89"/>
      <c r="AL100" s="32"/>
      <c r="AM100" s="33"/>
      <c r="AN100" s="36"/>
      <c r="AO100" s="89"/>
      <c r="AP100" s="32"/>
      <c r="AQ100" s="33"/>
      <c r="AR100" s="36"/>
      <c r="AS100" s="89"/>
      <c r="AT100" s="37">
        <f t="shared" si="7"/>
        <v>1</v>
      </c>
      <c r="AU100" s="38">
        <f t="shared" si="8"/>
        <v>1</v>
      </c>
    </row>
    <row r="101" spans="2:47" s="26" customFormat="1" x14ac:dyDescent="0.25">
      <c r="B101" s="27"/>
      <c r="C101" s="27"/>
      <c r="D101" s="28"/>
      <c r="E101" s="29"/>
      <c r="F101" s="29"/>
      <c r="G101" s="30"/>
      <c r="H101" s="42"/>
      <c r="I101" s="88"/>
      <c r="J101" s="88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2"/>
      <c r="AA101" s="33"/>
      <c r="AB101" s="36"/>
      <c r="AC101" s="89"/>
      <c r="AD101" s="32"/>
      <c r="AE101" s="35"/>
      <c r="AF101" s="36"/>
      <c r="AG101" s="89"/>
      <c r="AH101" s="32"/>
      <c r="AI101" s="33"/>
      <c r="AJ101" s="36"/>
      <c r="AK101" s="89"/>
      <c r="AL101" s="32"/>
      <c r="AM101" s="33"/>
      <c r="AN101" s="36"/>
      <c r="AO101" s="89"/>
      <c r="AP101" s="32"/>
      <c r="AQ101" s="33"/>
      <c r="AR101" s="36"/>
      <c r="AS101" s="89"/>
      <c r="AT101" s="37"/>
      <c r="AU101" s="38"/>
    </row>
    <row r="102" spans="2:47" s="26" customFormat="1" x14ac:dyDescent="0.25">
      <c r="B102" s="27"/>
      <c r="C102" s="27"/>
      <c r="D102" s="28"/>
      <c r="E102" s="29"/>
      <c r="F102" s="29"/>
      <c r="G102" s="30"/>
      <c r="H102" s="42"/>
      <c r="I102" s="88"/>
      <c r="J102" s="88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2"/>
      <c r="AA102" s="33"/>
      <c r="AB102" s="36"/>
      <c r="AC102" s="89"/>
      <c r="AD102" s="32"/>
      <c r="AE102" s="35"/>
      <c r="AF102" s="36"/>
      <c r="AG102" s="89"/>
      <c r="AH102" s="32"/>
      <c r="AI102" s="33"/>
      <c r="AJ102" s="36"/>
      <c r="AK102" s="89"/>
      <c r="AL102" s="32"/>
      <c r="AM102" s="33"/>
      <c r="AN102" s="36"/>
      <c r="AO102" s="89"/>
      <c r="AP102" s="32"/>
      <c r="AQ102" s="33"/>
      <c r="AR102" s="36"/>
      <c r="AS102" s="89"/>
      <c r="AT102" s="37"/>
      <c r="AU102" s="38"/>
    </row>
    <row r="103" spans="2:47" s="26" customFormat="1" x14ac:dyDescent="0.25">
      <c r="B103" s="27"/>
      <c r="C103" s="27"/>
      <c r="D103" s="28"/>
      <c r="E103" s="29"/>
      <c r="F103" s="29"/>
      <c r="G103" s="30"/>
      <c r="H103" s="42"/>
      <c r="I103" s="88"/>
      <c r="J103" s="88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2"/>
      <c r="AA103" s="33"/>
      <c r="AB103" s="36"/>
      <c r="AC103" s="89"/>
      <c r="AD103" s="32"/>
      <c r="AE103" s="35"/>
      <c r="AF103" s="36"/>
      <c r="AG103" s="89"/>
      <c r="AH103" s="32"/>
      <c r="AI103" s="33"/>
      <c r="AJ103" s="36"/>
      <c r="AK103" s="89"/>
      <c r="AL103" s="32"/>
      <c r="AM103" s="33"/>
      <c r="AN103" s="36"/>
      <c r="AO103" s="89"/>
      <c r="AP103" s="32"/>
      <c r="AQ103" s="33"/>
      <c r="AR103" s="36"/>
      <c r="AS103" s="89"/>
      <c r="AT103" s="37"/>
      <c r="AU103" s="38"/>
    </row>
    <row r="104" spans="2:47" s="26" customFormat="1" x14ac:dyDescent="0.25">
      <c r="B104" s="27"/>
      <c r="C104" s="27"/>
      <c r="D104" s="28"/>
      <c r="E104" s="29"/>
      <c r="F104" s="29"/>
      <c r="G104" s="30"/>
      <c r="H104" s="42"/>
      <c r="I104" s="88"/>
      <c r="J104" s="88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2"/>
      <c r="AA104" s="33"/>
      <c r="AB104" s="36"/>
      <c r="AC104" s="89"/>
      <c r="AD104" s="32"/>
      <c r="AE104" s="35"/>
      <c r="AF104" s="36"/>
      <c r="AG104" s="89"/>
      <c r="AH104" s="32"/>
      <c r="AI104" s="33"/>
      <c r="AJ104" s="36"/>
      <c r="AK104" s="89"/>
      <c r="AL104" s="32"/>
      <c r="AM104" s="33"/>
      <c r="AN104" s="36"/>
      <c r="AO104" s="89"/>
      <c r="AP104" s="32"/>
      <c r="AQ104" s="33"/>
      <c r="AR104" s="36"/>
      <c r="AS104" s="89"/>
      <c r="AT104" s="37"/>
      <c r="AU104" s="38"/>
    </row>
    <row r="105" spans="2:47" s="26" customFormat="1" x14ac:dyDescent="0.25">
      <c r="B105" s="27"/>
      <c r="C105" s="27"/>
      <c r="D105" s="28"/>
      <c r="E105" s="29"/>
      <c r="F105" s="29"/>
      <c r="G105" s="30"/>
      <c r="H105" s="42"/>
      <c r="I105" s="88"/>
      <c r="J105" s="88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2"/>
      <c r="AA105" s="33"/>
      <c r="AB105" s="36"/>
      <c r="AC105" s="89"/>
      <c r="AD105" s="32"/>
      <c r="AE105" s="35"/>
      <c r="AF105" s="36"/>
      <c r="AG105" s="89"/>
      <c r="AH105" s="32"/>
      <c r="AI105" s="33"/>
      <c r="AJ105" s="36"/>
      <c r="AK105" s="89"/>
      <c r="AL105" s="32"/>
      <c r="AM105" s="33"/>
      <c r="AN105" s="36"/>
      <c r="AO105" s="89"/>
      <c r="AP105" s="32"/>
      <c r="AQ105" s="33"/>
      <c r="AR105" s="36"/>
      <c r="AS105" s="89"/>
      <c r="AT105" s="37"/>
      <c r="AU105" s="38"/>
    </row>
    <row r="106" spans="2:47" s="26" customFormat="1" x14ac:dyDescent="0.25">
      <c r="B106" s="27"/>
      <c r="C106" s="27"/>
      <c r="D106" s="28"/>
      <c r="E106" s="29"/>
      <c r="F106" s="29"/>
      <c r="G106" s="30"/>
      <c r="H106" s="42"/>
      <c r="I106" s="88"/>
      <c r="J106" s="88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2"/>
      <c r="AA106" s="33"/>
      <c r="AB106" s="36"/>
      <c r="AC106" s="89"/>
      <c r="AD106" s="32"/>
      <c r="AE106" s="35"/>
      <c r="AF106" s="36"/>
      <c r="AG106" s="89"/>
      <c r="AH106" s="32"/>
      <c r="AI106" s="33"/>
      <c r="AJ106" s="36"/>
      <c r="AK106" s="89"/>
      <c r="AL106" s="32"/>
      <c r="AM106" s="33"/>
      <c r="AN106" s="36"/>
      <c r="AO106" s="89"/>
      <c r="AP106" s="32"/>
      <c r="AQ106" s="33"/>
      <c r="AR106" s="36"/>
      <c r="AS106" s="89"/>
      <c r="AT106" s="37"/>
      <c r="AU106" s="38"/>
    </row>
    <row r="107" spans="2:47" s="26" customFormat="1" x14ac:dyDescent="0.25">
      <c r="B107" s="27"/>
      <c r="C107" s="27"/>
      <c r="D107" s="28"/>
      <c r="E107" s="29"/>
      <c r="F107" s="29"/>
      <c r="G107" s="30"/>
      <c r="H107" s="42"/>
      <c r="I107" s="88"/>
      <c r="J107" s="88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2"/>
      <c r="AA107" s="33"/>
      <c r="AB107" s="36"/>
      <c r="AC107" s="89"/>
      <c r="AD107" s="32"/>
      <c r="AE107" s="35"/>
      <c r="AF107" s="36"/>
      <c r="AG107" s="89"/>
      <c r="AH107" s="32"/>
      <c r="AI107" s="33"/>
      <c r="AJ107" s="36"/>
      <c r="AK107" s="89"/>
      <c r="AL107" s="32"/>
      <c r="AM107" s="33"/>
      <c r="AN107" s="36"/>
      <c r="AO107" s="89"/>
      <c r="AP107" s="32"/>
      <c r="AQ107" s="33"/>
      <c r="AR107" s="36"/>
      <c r="AS107" s="89"/>
      <c r="AT107" s="37"/>
      <c r="AU107" s="38"/>
    </row>
    <row r="108" spans="2:47" s="26" customFormat="1" x14ac:dyDescent="0.25">
      <c r="B108" s="27"/>
      <c r="C108" s="27"/>
      <c r="D108" s="28"/>
      <c r="E108" s="29"/>
      <c r="F108" s="29"/>
      <c r="G108" s="30"/>
      <c r="H108" s="42"/>
      <c r="I108" s="88"/>
      <c r="J108" s="88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2"/>
      <c r="AA108" s="33"/>
      <c r="AB108" s="36"/>
      <c r="AC108" s="89"/>
      <c r="AD108" s="32"/>
      <c r="AE108" s="35"/>
      <c r="AF108" s="36"/>
      <c r="AG108" s="89"/>
      <c r="AH108" s="32"/>
      <c r="AI108" s="33"/>
      <c r="AJ108" s="36"/>
      <c r="AK108" s="89"/>
      <c r="AL108" s="32"/>
      <c r="AM108" s="33"/>
      <c r="AN108" s="36"/>
      <c r="AO108" s="89"/>
      <c r="AP108" s="32"/>
      <c r="AQ108" s="33"/>
      <c r="AR108" s="36"/>
      <c r="AS108" s="89"/>
      <c r="AT108" s="37"/>
      <c r="AU108" s="38"/>
    </row>
    <row r="109" spans="2:47" s="26" customFormat="1" x14ac:dyDescent="0.25">
      <c r="B109" s="27"/>
      <c r="C109" s="27"/>
      <c r="D109" s="28"/>
      <c r="E109" s="29"/>
      <c r="F109" s="29"/>
      <c r="G109" s="30"/>
      <c r="H109" s="42"/>
      <c r="I109" s="88"/>
      <c r="J109" s="88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2"/>
      <c r="AA109" s="33"/>
      <c r="AB109" s="36"/>
      <c r="AC109" s="89"/>
      <c r="AD109" s="32"/>
      <c r="AE109" s="35"/>
      <c r="AF109" s="36"/>
      <c r="AG109" s="89"/>
      <c r="AH109" s="32"/>
      <c r="AI109" s="33"/>
      <c r="AJ109" s="36"/>
      <c r="AK109" s="89"/>
      <c r="AL109" s="32"/>
      <c r="AM109" s="33"/>
      <c r="AN109" s="36"/>
      <c r="AO109" s="89"/>
      <c r="AP109" s="32"/>
      <c r="AQ109" s="33"/>
      <c r="AR109" s="36"/>
      <c r="AS109" s="89"/>
      <c r="AT109" s="37"/>
      <c r="AU109" s="38"/>
    </row>
    <row r="110" spans="2:47" s="26" customFormat="1" x14ac:dyDescent="0.25">
      <c r="B110" s="27"/>
      <c r="C110" s="27"/>
      <c r="D110" s="28"/>
      <c r="E110" s="29"/>
      <c r="F110" s="29"/>
      <c r="G110" s="30"/>
      <c r="H110" s="42"/>
      <c r="I110" s="88"/>
      <c r="J110" s="88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2"/>
      <c r="AA110" s="33"/>
      <c r="AB110" s="36"/>
      <c r="AC110" s="89"/>
      <c r="AD110" s="32"/>
      <c r="AE110" s="35"/>
      <c r="AF110" s="36"/>
      <c r="AG110" s="89"/>
      <c r="AH110" s="32"/>
      <c r="AI110" s="33"/>
      <c r="AJ110" s="36"/>
      <c r="AK110" s="89"/>
      <c r="AL110" s="32"/>
      <c r="AM110" s="33"/>
      <c r="AN110" s="36"/>
      <c r="AO110" s="89"/>
      <c r="AP110" s="32"/>
      <c r="AQ110" s="33"/>
      <c r="AR110" s="36"/>
      <c r="AS110" s="89"/>
      <c r="AT110" s="37"/>
      <c r="AU110" s="38"/>
    </row>
    <row r="111" spans="2:47" s="26" customFormat="1" x14ac:dyDescent="0.25">
      <c r="B111" s="27"/>
      <c r="C111" s="27"/>
      <c r="D111" s="28"/>
      <c r="E111" s="29"/>
      <c r="F111" s="29"/>
      <c r="G111" s="30"/>
      <c r="H111" s="42"/>
      <c r="I111" s="88"/>
      <c r="J111" s="88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2"/>
      <c r="AA111" s="33"/>
      <c r="AB111" s="36"/>
      <c r="AC111" s="89"/>
      <c r="AD111" s="32"/>
      <c r="AE111" s="35"/>
      <c r="AF111" s="36"/>
      <c r="AG111" s="89"/>
      <c r="AH111" s="32"/>
      <c r="AI111" s="33"/>
      <c r="AJ111" s="36"/>
      <c r="AK111" s="89"/>
      <c r="AL111" s="32"/>
      <c r="AM111" s="33"/>
      <c r="AN111" s="36"/>
      <c r="AO111" s="89"/>
      <c r="AP111" s="32"/>
      <c r="AQ111" s="33"/>
      <c r="AR111" s="36"/>
      <c r="AS111" s="89"/>
      <c r="AT111" s="37"/>
      <c r="AU111" s="38"/>
    </row>
    <row r="112" spans="2:47" s="26" customFormat="1" x14ac:dyDescent="0.25">
      <c r="B112" s="27"/>
      <c r="C112" s="27"/>
      <c r="D112" s="28"/>
      <c r="E112" s="29"/>
      <c r="F112" s="29"/>
      <c r="G112" s="30"/>
      <c r="H112" s="42"/>
      <c r="I112" s="88"/>
      <c r="J112" s="88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2"/>
      <c r="AA112" s="33"/>
      <c r="AB112" s="36"/>
      <c r="AC112" s="89"/>
      <c r="AD112" s="32"/>
      <c r="AE112" s="35"/>
      <c r="AF112" s="36"/>
      <c r="AG112" s="89"/>
      <c r="AH112" s="32"/>
      <c r="AI112" s="33"/>
      <c r="AJ112" s="36"/>
      <c r="AK112" s="89"/>
      <c r="AL112" s="32"/>
      <c r="AM112" s="33"/>
      <c r="AN112" s="36"/>
      <c r="AO112" s="89"/>
      <c r="AP112" s="32"/>
      <c r="AQ112" s="33"/>
      <c r="AR112" s="36"/>
      <c r="AS112" s="89"/>
      <c r="AT112" s="37"/>
      <c r="AU112" s="38"/>
    </row>
    <row r="113" spans="2:47" s="26" customFormat="1" x14ac:dyDescent="0.25">
      <c r="B113" s="27"/>
      <c r="C113" s="27"/>
      <c r="D113" s="28"/>
      <c r="E113" s="29"/>
      <c r="F113" s="29"/>
      <c r="G113" s="30"/>
      <c r="H113" s="42"/>
      <c r="I113" s="88"/>
      <c r="J113" s="88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2"/>
      <c r="AA113" s="33"/>
      <c r="AB113" s="36"/>
      <c r="AC113" s="89"/>
      <c r="AD113" s="32"/>
      <c r="AE113" s="35"/>
      <c r="AF113" s="36"/>
      <c r="AG113" s="89"/>
      <c r="AH113" s="32"/>
      <c r="AI113" s="33"/>
      <c r="AJ113" s="36"/>
      <c r="AK113" s="89"/>
      <c r="AL113" s="32"/>
      <c r="AM113" s="33"/>
      <c r="AN113" s="36"/>
      <c r="AO113" s="89"/>
      <c r="AP113" s="32"/>
      <c r="AQ113" s="33"/>
      <c r="AR113" s="36"/>
      <c r="AS113" s="89"/>
      <c r="AT113" s="37"/>
      <c r="AU113" s="38"/>
    </row>
    <row r="114" spans="2:47" s="26" customFormat="1" x14ac:dyDescent="0.25">
      <c r="B114" s="27"/>
      <c r="C114" s="27"/>
      <c r="D114" s="28"/>
      <c r="E114" s="29"/>
      <c r="F114" s="29"/>
      <c r="G114" s="30"/>
      <c r="H114" s="42"/>
      <c r="I114" s="88"/>
      <c r="J114" s="88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2"/>
      <c r="AA114" s="33"/>
      <c r="AB114" s="36"/>
      <c r="AC114" s="89"/>
      <c r="AD114" s="32"/>
      <c r="AE114" s="35"/>
      <c r="AF114" s="36"/>
      <c r="AG114" s="89"/>
      <c r="AH114" s="32"/>
      <c r="AI114" s="33"/>
      <c r="AJ114" s="36"/>
      <c r="AK114" s="89"/>
      <c r="AL114" s="32"/>
      <c r="AM114" s="33"/>
      <c r="AN114" s="36"/>
      <c r="AO114" s="89"/>
      <c r="AP114" s="32"/>
      <c r="AQ114" s="33"/>
      <c r="AR114" s="36"/>
      <c r="AS114" s="89"/>
      <c r="AT114" s="37"/>
      <c r="AU114" s="38"/>
    </row>
    <row r="115" spans="2:47" s="26" customFormat="1" x14ac:dyDescent="0.25">
      <c r="B115" s="27"/>
      <c r="C115" s="27"/>
      <c r="D115" s="28"/>
      <c r="E115" s="29"/>
      <c r="F115" s="29"/>
      <c r="G115" s="30"/>
      <c r="H115" s="42"/>
      <c r="I115" s="88"/>
      <c r="J115" s="88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2"/>
      <c r="AA115" s="33"/>
      <c r="AB115" s="36"/>
      <c r="AC115" s="89"/>
      <c r="AD115" s="32"/>
      <c r="AE115" s="35"/>
      <c r="AF115" s="36"/>
      <c r="AG115" s="89"/>
      <c r="AH115" s="32"/>
      <c r="AI115" s="33"/>
      <c r="AJ115" s="36"/>
      <c r="AK115" s="89"/>
      <c r="AL115" s="32"/>
      <c r="AM115" s="33"/>
      <c r="AN115" s="36"/>
      <c r="AO115" s="89"/>
      <c r="AP115" s="32"/>
      <c r="AQ115" s="33"/>
      <c r="AR115" s="36"/>
      <c r="AS115" s="89"/>
      <c r="AT115" s="37"/>
      <c r="AU115" s="38"/>
    </row>
    <row r="116" spans="2:47" s="26" customFormat="1" x14ac:dyDescent="0.25">
      <c r="B116" s="27"/>
      <c r="C116" s="27"/>
      <c r="D116" s="28"/>
      <c r="E116" s="29"/>
      <c r="F116" s="29"/>
      <c r="G116" s="30"/>
      <c r="H116" s="42"/>
      <c r="I116" s="88"/>
      <c r="J116" s="88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2"/>
      <c r="AA116" s="33"/>
      <c r="AB116" s="36"/>
      <c r="AC116" s="89"/>
      <c r="AD116" s="32"/>
      <c r="AE116" s="35"/>
      <c r="AF116" s="36"/>
      <c r="AG116" s="89"/>
      <c r="AH116" s="32"/>
      <c r="AI116" s="33"/>
      <c r="AJ116" s="36"/>
      <c r="AK116" s="89"/>
      <c r="AL116" s="32"/>
      <c r="AM116" s="33"/>
      <c r="AN116" s="36"/>
      <c r="AO116" s="89"/>
      <c r="AP116" s="32"/>
      <c r="AQ116" s="33"/>
      <c r="AR116" s="36"/>
      <c r="AS116" s="89"/>
      <c r="AT116" s="37"/>
      <c r="AU116" s="38"/>
    </row>
    <row r="117" spans="2:47" s="26" customFormat="1" x14ac:dyDescent="0.25">
      <c r="B117" s="27"/>
      <c r="C117" s="27"/>
      <c r="D117" s="28"/>
      <c r="E117" s="29"/>
      <c r="F117" s="29"/>
      <c r="G117" s="30"/>
      <c r="H117" s="42"/>
      <c r="I117" s="88"/>
      <c r="J117" s="88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2"/>
      <c r="AA117" s="33"/>
      <c r="AB117" s="36"/>
      <c r="AC117" s="89"/>
      <c r="AD117" s="32"/>
      <c r="AE117" s="35"/>
      <c r="AF117" s="36"/>
      <c r="AG117" s="89"/>
      <c r="AH117" s="32"/>
      <c r="AI117" s="33"/>
      <c r="AJ117" s="36"/>
      <c r="AK117" s="89"/>
      <c r="AL117" s="32"/>
      <c r="AM117" s="33"/>
      <c r="AN117" s="36"/>
      <c r="AO117" s="89"/>
      <c r="AP117" s="32"/>
      <c r="AQ117" s="33"/>
      <c r="AR117" s="36"/>
      <c r="AS117" s="89"/>
      <c r="AT117" s="37"/>
      <c r="AU117" s="38"/>
    </row>
    <row r="118" spans="2:47" s="26" customFormat="1" x14ac:dyDescent="0.25">
      <c r="B118" s="27"/>
      <c r="C118" s="27"/>
      <c r="D118" s="28"/>
      <c r="E118" s="29"/>
      <c r="F118" s="29"/>
      <c r="G118" s="30"/>
      <c r="H118" s="42"/>
      <c r="I118" s="88"/>
      <c r="J118" s="88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2"/>
      <c r="AA118" s="33"/>
      <c r="AB118" s="36"/>
      <c r="AC118" s="89"/>
      <c r="AD118" s="32"/>
      <c r="AE118" s="35"/>
      <c r="AF118" s="36"/>
      <c r="AG118" s="89"/>
      <c r="AH118" s="32"/>
      <c r="AI118" s="33"/>
      <c r="AJ118" s="36"/>
      <c r="AK118" s="89"/>
      <c r="AL118" s="32"/>
      <c r="AM118" s="33"/>
      <c r="AN118" s="36"/>
      <c r="AO118" s="89"/>
      <c r="AP118" s="32"/>
      <c r="AQ118" s="33"/>
      <c r="AR118" s="36"/>
      <c r="AS118" s="89"/>
      <c r="AT118" s="37"/>
      <c r="AU118" s="38"/>
    </row>
    <row r="119" spans="2:47" s="26" customFormat="1" x14ac:dyDescent="0.25">
      <c r="B119" s="27"/>
      <c r="C119" s="27"/>
      <c r="D119" s="28"/>
      <c r="E119" s="29"/>
      <c r="F119" s="29"/>
      <c r="G119" s="30"/>
      <c r="H119" s="42"/>
      <c r="I119" s="88"/>
      <c r="J119" s="88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2"/>
      <c r="AA119" s="33"/>
      <c r="AB119" s="36"/>
      <c r="AC119" s="89"/>
      <c r="AD119" s="32"/>
      <c r="AE119" s="35"/>
      <c r="AF119" s="36"/>
      <c r="AG119" s="89"/>
      <c r="AH119" s="32"/>
      <c r="AI119" s="33"/>
      <c r="AJ119" s="36"/>
      <c r="AK119" s="89"/>
      <c r="AL119" s="32"/>
      <c r="AM119" s="33"/>
      <c r="AN119" s="36"/>
      <c r="AO119" s="89"/>
      <c r="AP119" s="32"/>
      <c r="AQ119" s="33"/>
      <c r="AR119" s="36"/>
      <c r="AS119" s="89"/>
      <c r="AT119" s="37"/>
      <c r="AU119" s="38"/>
    </row>
    <row r="120" spans="2:47" s="26" customFormat="1" x14ac:dyDescent="0.25">
      <c r="B120" s="27"/>
      <c r="C120" s="27"/>
      <c r="D120" s="28"/>
      <c r="E120" s="29"/>
      <c r="F120" s="29"/>
      <c r="G120" s="30"/>
      <c r="H120" s="42"/>
      <c r="I120" s="88"/>
      <c r="J120" s="88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2"/>
      <c r="AA120" s="33"/>
      <c r="AB120" s="36"/>
      <c r="AC120" s="89"/>
      <c r="AD120" s="32"/>
      <c r="AE120" s="35"/>
      <c r="AF120" s="36"/>
      <c r="AG120" s="89"/>
      <c r="AH120" s="32"/>
      <c r="AI120" s="33"/>
      <c r="AJ120" s="36"/>
      <c r="AK120" s="89"/>
      <c r="AL120" s="32"/>
      <c r="AM120" s="33"/>
      <c r="AN120" s="36"/>
      <c r="AO120" s="89"/>
      <c r="AP120" s="32"/>
      <c r="AQ120" s="33"/>
      <c r="AR120" s="36"/>
      <c r="AS120" s="89"/>
      <c r="AT120" s="37"/>
      <c r="AU120" s="38"/>
    </row>
    <row r="121" spans="2:47" s="26" customFormat="1" x14ac:dyDescent="0.25">
      <c r="B121" s="27"/>
      <c r="C121" s="27"/>
      <c r="D121" s="28"/>
      <c r="E121" s="29"/>
      <c r="F121" s="29"/>
      <c r="G121" s="30"/>
      <c r="H121" s="42"/>
      <c r="I121" s="88"/>
      <c r="J121" s="88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2"/>
      <c r="AA121" s="33"/>
      <c r="AB121" s="36"/>
      <c r="AC121" s="89"/>
      <c r="AD121" s="32"/>
      <c r="AE121" s="35"/>
      <c r="AF121" s="36"/>
      <c r="AG121" s="89"/>
      <c r="AH121" s="32"/>
      <c r="AI121" s="33"/>
      <c r="AJ121" s="36"/>
      <c r="AK121" s="89"/>
      <c r="AL121" s="32"/>
      <c r="AM121" s="33"/>
      <c r="AN121" s="36"/>
      <c r="AO121" s="89"/>
      <c r="AP121" s="32"/>
      <c r="AQ121" s="33"/>
      <c r="AR121" s="36"/>
      <c r="AS121" s="89"/>
      <c r="AT121" s="37"/>
      <c r="AU121" s="38"/>
    </row>
    <row r="122" spans="2:47" s="26" customFormat="1" x14ac:dyDescent="0.25">
      <c r="B122" s="27"/>
      <c r="C122" s="27"/>
      <c r="D122" s="28"/>
      <c r="E122" s="29"/>
      <c r="F122" s="29"/>
      <c r="G122" s="30"/>
      <c r="H122" s="42"/>
      <c r="I122" s="43"/>
      <c r="J122" s="43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>
        <f>SUM(M122:X122)</f>
        <v>0</v>
      </c>
      <c r="Z122" s="32"/>
      <c r="AA122" s="33"/>
      <c r="AB122" s="36"/>
      <c r="AC122" s="89"/>
      <c r="AD122" s="32"/>
      <c r="AE122" s="35"/>
      <c r="AF122" s="36"/>
      <c r="AG122" s="89"/>
      <c r="AH122" s="32"/>
      <c r="AI122" s="33"/>
      <c r="AJ122" s="36"/>
      <c r="AK122" s="89"/>
      <c r="AL122" s="32"/>
      <c r="AM122" s="33"/>
      <c r="AN122" s="36"/>
      <c r="AO122" s="89"/>
      <c r="AP122" s="32"/>
      <c r="AQ122" s="33"/>
      <c r="AR122" s="36"/>
      <c r="AS122" s="89"/>
      <c r="AT122" s="37">
        <f>+Z122+AD122+AH122+AL122+AP122</f>
        <v>0</v>
      </c>
      <c r="AU122" s="38">
        <f>+AT122-Y122</f>
        <v>0</v>
      </c>
    </row>
    <row r="123" spans="2:47" ht="15" customHeight="1" x14ac:dyDescent="0.25">
      <c r="B123" s="534" t="s">
        <v>40</v>
      </c>
      <c r="C123" s="535"/>
      <c r="D123" s="535"/>
      <c r="E123" s="535"/>
      <c r="F123" s="535"/>
      <c r="G123" s="535"/>
      <c r="H123" s="535"/>
      <c r="I123" s="536"/>
      <c r="J123" s="48">
        <f t="shared" ref="J123:Z123" si="9">SUBTOTAL(9,J16:J120)</f>
        <v>96804121</v>
      </c>
      <c r="K123" s="48">
        <f t="shared" si="9"/>
        <v>28633117</v>
      </c>
      <c r="L123" s="48">
        <f>SUBTOTAL(9,L16:L120)</f>
        <v>29956420</v>
      </c>
      <c r="M123" s="48">
        <f t="shared" si="9"/>
        <v>3749054.375</v>
      </c>
      <c r="N123" s="48">
        <f t="shared" si="9"/>
        <v>2806866.3349999995</v>
      </c>
      <c r="O123" s="48">
        <f t="shared" si="9"/>
        <v>2313251.8680000002</v>
      </c>
      <c r="P123" s="48">
        <f t="shared" si="9"/>
        <v>0</v>
      </c>
      <c r="Q123" s="48">
        <f t="shared" si="9"/>
        <v>0</v>
      </c>
      <c r="R123" s="48">
        <f t="shared" si="9"/>
        <v>0</v>
      </c>
      <c r="S123" s="48">
        <f t="shared" si="9"/>
        <v>0</v>
      </c>
      <c r="T123" s="48">
        <f t="shared" si="9"/>
        <v>0</v>
      </c>
      <c r="U123" s="48">
        <f t="shared" si="9"/>
        <v>0</v>
      </c>
      <c r="V123" s="48">
        <f t="shared" si="9"/>
        <v>0</v>
      </c>
      <c r="W123" s="48">
        <f t="shared" si="9"/>
        <v>0</v>
      </c>
      <c r="X123" s="48">
        <f t="shared" si="9"/>
        <v>0</v>
      </c>
      <c r="Y123" s="48">
        <f t="shared" si="9"/>
        <v>8869172.5780000016</v>
      </c>
      <c r="Z123" s="48">
        <f t="shared" si="9"/>
        <v>19136541</v>
      </c>
      <c r="AA123" s="48"/>
      <c r="AB123" s="48"/>
      <c r="AC123" s="48"/>
      <c r="AD123" s="48">
        <f>SUBTOTAL(9,AD16:AD120)</f>
        <v>0</v>
      </c>
      <c r="AE123" s="48"/>
      <c r="AF123" s="48"/>
      <c r="AG123" s="48"/>
      <c r="AH123" s="48">
        <f>SUBTOTAL(9,AH16:AH120)</f>
        <v>0</v>
      </c>
      <c r="AI123" s="48"/>
      <c r="AJ123" s="48"/>
      <c r="AK123" s="48"/>
      <c r="AL123" s="48">
        <f>SUBTOTAL(9,AL16:AL120)</f>
        <v>0</v>
      </c>
      <c r="AM123" s="48"/>
      <c r="AN123" s="48"/>
      <c r="AO123" s="48"/>
      <c r="AP123" s="48">
        <f>SUBTOTAL(9,AP16:AP120)</f>
        <v>0</v>
      </c>
      <c r="AQ123" s="48"/>
      <c r="AR123" s="48"/>
      <c r="AS123" s="48"/>
      <c r="AT123" s="48">
        <f>SUBTOTAL(9,AT16:AT120)</f>
        <v>19136541</v>
      </c>
      <c r="AU123" s="48">
        <f>SUBTOTAL(9,AU16:AU120)</f>
        <v>10267368.421999998</v>
      </c>
    </row>
    <row r="124" spans="2:47" ht="20.25" customHeight="1" x14ac:dyDescent="0.2">
      <c r="B124" s="537"/>
      <c r="C124" s="537"/>
      <c r="D124" s="537"/>
      <c r="E124" s="537"/>
      <c r="F124" s="44"/>
      <c r="G124" s="16"/>
      <c r="H124" s="16"/>
    </row>
    <row r="125" spans="2:47" x14ac:dyDescent="0.2">
      <c r="B125" s="538"/>
      <c r="C125" s="538"/>
      <c r="D125" s="538"/>
      <c r="E125" s="538"/>
      <c r="F125" s="538"/>
      <c r="G125" s="538"/>
      <c r="H125" s="538"/>
      <c r="I125" s="538"/>
      <c r="J125" s="538"/>
      <c r="K125" s="538"/>
      <c r="L125" s="538"/>
      <c r="M125" s="538"/>
      <c r="N125" s="538"/>
      <c r="O125" s="538"/>
      <c r="P125" s="538"/>
      <c r="Q125" s="538"/>
      <c r="R125" s="538"/>
      <c r="S125" s="538"/>
      <c r="T125" s="538"/>
      <c r="U125" s="538"/>
      <c r="V125" s="538"/>
      <c r="W125" s="538"/>
      <c r="X125" s="538"/>
      <c r="Y125" s="538"/>
      <c r="Z125" s="538"/>
      <c r="AA125" s="538"/>
      <c r="AB125" s="538"/>
      <c r="AC125" s="538"/>
      <c r="AD125" s="45"/>
      <c r="AE125" s="46"/>
      <c r="AF125" s="45"/>
      <c r="AG125" s="45"/>
      <c r="AH125" s="45"/>
      <c r="AI125" s="47"/>
      <c r="AJ125" s="45"/>
      <c r="AK125" s="45"/>
      <c r="AL125" s="45"/>
      <c r="AM125" s="47"/>
      <c r="AN125" s="45"/>
      <c r="AO125" s="45"/>
      <c r="AP125" s="45"/>
      <c r="AQ125" s="47"/>
      <c r="AR125" s="45"/>
      <c r="AS125" s="45"/>
      <c r="AT125" s="8"/>
    </row>
    <row r="126" spans="2:47" x14ac:dyDescent="0.2">
      <c r="AT126" s="8"/>
    </row>
    <row r="130" spans="2:47" ht="15.75" x14ac:dyDescent="0.25">
      <c r="B130" s="545" t="s">
        <v>726</v>
      </c>
      <c r="C130" s="545"/>
      <c r="D130" s="545"/>
      <c r="E130" s="545"/>
      <c r="F130" s="545"/>
      <c r="G130" s="545"/>
      <c r="H130" s="545"/>
      <c r="I130" s="545"/>
      <c r="J130" s="545"/>
      <c r="K130" s="545"/>
      <c r="L130" s="545"/>
      <c r="M130" s="545"/>
      <c r="N130" s="545"/>
      <c r="O130" s="545"/>
      <c r="P130" s="545"/>
      <c r="Q130" s="545"/>
      <c r="R130" s="545"/>
      <c r="S130" s="545"/>
      <c r="T130" s="545"/>
      <c r="U130" s="545"/>
      <c r="V130" s="545"/>
      <c r="W130" s="545"/>
      <c r="X130" s="545"/>
      <c r="Y130" s="545"/>
      <c r="Z130" s="545"/>
      <c r="AA130" s="545"/>
      <c r="AB130" s="545"/>
      <c r="AC130" s="545"/>
      <c r="AD130" s="545"/>
      <c r="AE130" s="545"/>
      <c r="AF130" s="545"/>
      <c r="AG130" s="545"/>
      <c r="AH130" s="545"/>
      <c r="AI130" s="545"/>
      <c r="AJ130" s="545"/>
      <c r="AK130" s="545"/>
      <c r="AL130" s="545"/>
      <c r="AM130" s="545"/>
      <c r="AN130" s="545"/>
      <c r="AO130" s="545"/>
      <c r="AP130" s="545"/>
      <c r="AQ130" s="545"/>
      <c r="AR130" s="545"/>
      <c r="AS130" s="545"/>
      <c r="AT130" s="545"/>
      <c r="AU130" s="545"/>
    </row>
  </sheetData>
  <mergeCells count="17">
    <mergeCell ref="AH14:AK14"/>
    <mergeCell ref="AL14:AO14"/>
    <mergeCell ref="AP14:AS14"/>
    <mergeCell ref="B130:AU130"/>
    <mergeCell ref="B8:AC8"/>
    <mergeCell ref="AT14:AU14"/>
    <mergeCell ref="B123:I123"/>
    <mergeCell ref="B124:E124"/>
    <mergeCell ref="B125:AC125"/>
    <mergeCell ref="B9:AC10"/>
    <mergeCell ref="Z14:AC14"/>
    <mergeCell ref="AD14:AG14"/>
    <mergeCell ref="B1:AC2"/>
    <mergeCell ref="B3:AC4"/>
    <mergeCell ref="B5:AC5"/>
    <mergeCell ref="B6:AC6"/>
    <mergeCell ref="B7:AC7"/>
  </mergeCells>
  <conditionalFormatting sqref="D16:D37">
    <cfRule type="duplicateValues" dxfId="46" priority="1"/>
  </conditionalFormatting>
  <conditionalFormatting sqref="D16:D37">
    <cfRule type="duplicateValues" dxfId="45" priority="2"/>
  </conditionalFormatting>
  <conditionalFormatting sqref="D38:D121">
    <cfRule type="duplicateValues" dxfId="44" priority="3"/>
  </conditionalFormatting>
  <conditionalFormatting sqref="D122">
    <cfRule type="duplicateValues" dxfId="43" priority="4"/>
  </conditionalFormatting>
  <pageMargins left="0.7" right="0.7" top="0.75" bottom="0.75" header="0.3" footer="0.3"/>
  <pageSetup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114"/>
  <sheetViews>
    <sheetView showGridLines="0" topLeftCell="A9" zoomScaleNormal="100" workbookViewId="0">
      <pane ySplit="7" topLeftCell="A16" activePane="bottomLeft" state="frozen"/>
      <selection activeCell="A9" sqref="A9"/>
      <selection pane="bottomLeft" activeCell="L109" sqref="L109"/>
    </sheetView>
  </sheetViews>
  <sheetFormatPr baseColWidth="10" defaultRowHeight="11.25" x14ac:dyDescent="0.2"/>
  <cols>
    <col min="1" max="1" width="5" style="4" customWidth="1"/>
    <col min="2" max="2" width="12" style="16" customWidth="1"/>
    <col min="3" max="3" width="14.85546875" style="4" customWidth="1"/>
    <col min="4" max="4" width="13.28515625" style="407" customWidth="1"/>
    <col min="5" max="5" width="37" style="4" customWidth="1"/>
    <col min="6" max="6" width="11.42578125" style="4" customWidth="1"/>
    <col min="7" max="7" width="11.28515625" style="4" customWidth="1"/>
    <col min="8" max="8" width="15.5703125" style="4" customWidth="1"/>
    <col min="9" max="9" width="9.7109375" style="4" customWidth="1"/>
    <col min="10" max="10" width="13.140625" style="8" customWidth="1"/>
    <col min="11" max="11" width="12" style="8" customWidth="1"/>
    <col min="12" max="12" width="13.28515625" style="8" customWidth="1"/>
    <col min="13" max="24" width="12" style="8" customWidth="1"/>
    <col min="25" max="25" width="13.7109375" style="8" customWidth="1"/>
    <col min="26" max="26" width="11.85546875" style="8" customWidth="1"/>
    <col min="27" max="27" width="10.140625" style="9" customWidth="1"/>
    <col min="28" max="29" width="10.140625" style="4" customWidth="1"/>
    <col min="30" max="30" width="13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47" width="11.42578125" style="8"/>
    <col min="48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388"/>
      <c r="AE1" s="2"/>
      <c r="AF1" s="388"/>
      <c r="AG1" s="388"/>
      <c r="AH1" s="388"/>
      <c r="AI1" s="3"/>
      <c r="AJ1" s="388"/>
      <c r="AK1" s="388"/>
      <c r="AL1" s="388"/>
      <c r="AM1" s="3"/>
      <c r="AN1" s="388"/>
      <c r="AO1" s="388"/>
      <c r="AP1" s="388"/>
      <c r="AQ1" s="3"/>
      <c r="AR1" s="388"/>
      <c r="AS1" s="388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388"/>
      <c r="AE2" s="2"/>
      <c r="AF2" s="388"/>
      <c r="AG2" s="388"/>
      <c r="AH2" s="388"/>
      <c r="AI2" s="3"/>
      <c r="AJ2" s="388"/>
      <c r="AK2" s="388"/>
      <c r="AL2" s="388"/>
      <c r="AM2" s="3"/>
      <c r="AN2" s="388"/>
      <c r="AO2" s="388"/>
      <c r="AP2" s="388"/>
      <c r="AQ2" s="3"/>
      <c r="AR2" s="388"/>
      <c r="AS2" s="388"/>
    </row>
    <row r="3" spans="2:47" hidden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387"/>
      <c r="AE3" s="6"/>
      <c r="AF3" s="387"/>
      <c r="AG3" s="387"/>
      <c r="AH3" s="387"/>
      <c r="AI3" s="7"/>
      <c r="AJ3" s="387"/>
      <c r="AK3" s="387"/>
      <c r="AL3" s="387"/>
      <c r="AM3" s="7"/>
      <c r="AN3" s="387"/>
      <c r="AO3" s="387"/>
      <c r="AP3" s="387"/>
      <c r="AQ3" s="7"/>
      <c r="AR3" s="387"/>
      <c r="AS3" s="387"/>
    </row>
    <row r="4" spans="2:47" hidden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387"/>
      <c r="AE4" s="6"/>
      <c r="AF4" s="387"/>
      <c r="AG4" s="387"/>
      <c r="AH4" s="387"/>
      <c r="AI4" s="7"/>
      <c r="AJ4" s="387"/>
      <c r="AK4" s="387"/>
      <c r="AL4" s="387"/>
      <c r="AM4" s="7"/>
      <c r="AN4" s="387"/>
      <c r="AO4" s="387"/>
      <c r="AP4" s="387"/>
      <c r="AQ4" s="7"/>
      <c r="AR4" s="387"/>
      <c r="AS4" s="387"/>
    </row>
    <row r="5" spans="2:47" hidden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387"/>
      <c r="AE5" s="6"/>
      <c r="AF5" s="387"/>
      <c r="AG5" s="387"/>
      <c r="AH5" s="387"/>
      <c r="AI5" s="7"/>
      <c r="AJ5" s="387"/>
      <c r="AK5" s="387"/>
      <c r="AL5" s="387"/>
      <c r="AM5" s="7"/>
      <c r="AN5" s="387"/>
      <c r="AO5" s="387"/>
      <c r="AP5" s="387"/>
      <c r="AQ5" s="7"/>
      <c r="AR5" s="387"/>
      <c r="AS5" s="387"/>
    </row>
    <row r="6" spans="2:47" hidden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387"/>
      <c r="AE6" s="6"/>
      <c r="AF6" s="387"/>
      <c r="AG6" s="387"/>
      <c r="AH6" s="387"/>
      <c r="AI6" s="7"/>
      <c r="AJ6" s="387"/>
      <c r="AK6" s="387"/>
      <c r="AL6" s="387"/>
      <c r="AM6" s="7"/>
      <c r="AN6" s="387"/>
      <c r="AO6" s="387"/>
      <c r="AP6" s="387"/>
      <c r="AQ6" s="7"/>
      <c r="AR6" s="387"/>
      <c r="AS6" s="387"/>
    </row>
    <row r="7" spans="2:47" hidden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387"/>
      <c r="AE7" s="6"/>
      <c r="AF7" s="387"/>
      <c r="AG7" s="387"/>
      <c r="AH7" s="387"/>
      <c r="AI7" s="7"/>
      <c r="AJ7" s="387"/>
      <c r="AK7" s="387"/>
      <c r="AL7" s="387"/>
      <c r="AM7" s="7"/>
      <c r="AN7" s="387"/>
      <c r="AO7" s="387"/>
      <c r="AP7" s="387"/>
      <c r="AQ7" s="7"/>
      <c r="AR7" s="387"/>
      <c r="AS7" s="387"/>
    </row>
    <row r="8" spans="2:47" hidden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387"/>
      <c r="AE8" s="6"/>
      <c r="AF8" s="387"/>
      <c r="AG8" s="387"/>
      <c r="AH8" s="387"/>
      <c r="AI8" s="7"/>
      <c r="AJ8" s="387"/>
      <c r="AK8" s="387"/>
      <c r="AL8" s="387"/>
      <c r="AM8" s="7"/>
      <c r="AN8" s="387"/>
      <c r="AO8" s="387"/>
      <c r="AP8" s="387"/>
      <c r="AQ8" s="7"/>
      <c r="AR8" s="387"/>
      <c r="AS8" s="387"/>
    </row>
    <row r="9" spans="2:47" ht="18.75" customHeight="1" x14ac:dyDescent="0.2">
      <c r="C9" s="395"/>
      <c r="D9" s="395"/>
      <c r="E9" s="395"/>
      <c r="F9" s="395"/>
      <c r="G9" s="395" t="s">
        <v>0</v>
      </c>
      <c r="H9" s="395"/>
      <c r="I9" s="395"/>
      <c r="J9" s="395"/>
      <c r="K9" s="395"/>
      <c r="L9" s="395"/>
      <c r="M9" s="395"/>
      <c r="N9" s="395"/>
      <c r="O9" s="395"/>
      <c r="P9" s="395"/>
      <c r="Q9" s="395"/>
      <c r="R9" s="395"/>
      <c r="S9" s="395"/>
      <c r="T9" s="395"/>
      <c r="U9" s="395"/>
      <c r="V9" s="395"/>
      <c r="W9" s="395"/>
      <c r="X9" s="395"/>
      <c r="Y9" s="395"/>
      <c r="Z9" s="395"/>
      <c r="AA9" s="395"/>
      <c r="AB9" s="395"/>
      <c r="AC9" s="395"/>
      <c r="AD9" s="387"/>
      <c r="AE9" s="6"/>
      <c r="AF9" s="387"/>
      <c r="AG9" s="387"/>
      <c r="AH9" s="387"/>
      <c r="AI9" s="7"/>
      <c r="AJ9" s="387"/>
      <c r="AK9" s="387"/>
      <c r="AL9" s="387"/>
      <c r="AM9" s="7"/>
      <c r="AN9" s="387"/>
      <c r="AO9" s="387"/>
      <c r="AP9" s="387"/>
      <c r="AQ9" s="7"/>
      <c r="AR9" s="387"/>
      <c r="AS9" s="387"/>
    </row>
    <row r="10" spans="2:47" ht="11.25" customHeight="1" x14ac:dyDescent="0.2">
      <c r="B10" s="396"/>
      <c r="C10" s="396"/>
      <c r="D10" s="397"/>
      <c r="E10" s="396"/>
      <c r="F10" s="396"/>
      <c r="G10" s="396"/>
      <c r="H10" s="396"/>
      <c r="I10" s="396"/>
      <c r="J10" s="396"/>
      <c r="K10" s="396"/>
      <c r="L10" s="396"/>
      <c r="M10" s="396"/>
      <c r="N10" s="396"/>
      <c r="O10" s="396"/>
      <c r="P10" s="396"/>
      <c r="Q10" s="396"/>
      <c r="R10" s="396"/>
      <c r="S10" s="396"/>
      <c r="T10" s="396"/>
      <c r="U10" s="396"/>
      <c r="V10" s="396"/>
      <c r="W10" s="396"/>
      <c r="X10" s="396"/>
      <c r="Y10" s="396"/>
      <c r="Z10" s="396"/>
      <c r="AA10" s="396"/>
      <c r="AB10" s="396"/>
      <c r="AC10" s="396"/>
    </row>
    <row r="11" spans="2:47" ht="18.75" x14ac:dyDescent="0.2">
      <c r="B11" s="389"/>
      <c r="C11" s="389"/>
      <c r="D11" s="108"/>
      <c r="E11" s="389"/>
      <c r="F11" s="389"/>
      <c r="G11" s="389"/>
      <c r="H11" s="389"/>
      <c r="I11" s="389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389"/>
      <c r="AB11" s="389"/>
      <c r="AC11" s="389"/>
    </row>
    <row r="12" spans="2:47" ht="32.25" customHeight="1" x14ac:dyDescent="0.2">
      <c r="B12" s="10" t="s">
        <v>1</v>
      </c>
      <c r="C12" s="10" t="s">
        <v>2</v>
      </c>
      <c r="D12" s="398" t="s">
        <v>3</v>
      </c>
      <c r="E12" s="12" t="s">
        <v>4</v>
      </c>
      <c r="F12" s="13"/>
      <c r="G12" s="389"/>
      <c r="H12" s="389"/>
      <c r="I12" s="389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389"/>
      <c r="AB12" s="389"/>
      <c r="AC12" s="389"/>
    </row>
    <row r="13" spans="2:47" ht="18.75" x14ac:dyDescent="0.2">
      <c r="B13" s="15">
        <v>50173861</v>
      </c>
      <c r="C13" s="15">
        <v>37596977</v>
      </c>
      <c r="D13" s="15">
        <v>37596977</v>
      </c>
      <c r="E13" s="15">
        <f>+Y109</f>
        <v>4943543</v>
      </c>
      <c r="F13" s="84"/>
      <c r="G13" s="389"/>
      <c r="H13" s="389"/>
      <c r="I13" s="389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389"/>
      <c r="AB13" s="389"/>
      <c r="AC13" s="389"/>
    </row>
    <row r="14" spans="2:47" ht="15" customHeight="1" x14ac:dyDescent="0.2">
      <c r="C14" s="17"/>
      <c r="D14" s="399"/>
      <c r="E14" s="17"/>
      <c r="F14" s="17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46" t="s">
        <v>7</v>
      </c>
      <c r="AU14" s="546"/>
    </row>
    <row r="15" spans="2:47" s="26" customFormat="1" ht="55.5" customHeight="1" x14ac:dyDescent="0.25">
      <c r="B15" s="19" t="s">
        <v>8</v>
      </c>
      <c r="C15" s="19" t="s">
        <v>9</v>
      </c>
      <c r="D15" s="400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107" t="s">
        <v>16</v>
      </c>
      <c r="K15" s="107" t="s">
        <v>17</v>
      </c>
      <c r="L15" s="107" t="s">
        <v>18</v>
      </c>
      <c r="M15" s="401" t="s">
        <v>19</v>
      </c>
      <c r="N15" s="401" t="s">
        <v>20</v>
      </c>
      <c r="O15" s="401" t="s">
        <v>21</v>
      </c>
      <c r="P15" s="401" t="s">
        <v>22</v>
      </c>
      <c r="Q15" s="401" t="s">
        <v>23</v>
      </c>
      <c r="R15" s="402" t="s">
        <v>24</v>
      </c>
      <c r="S15" s="402" t="s">
        <v>25</v>
      </c>
      <c r="T15" s="402" t="s">
        <v>26</v>
      </c>
      <c r="U15" s="402" t="s">
        <v>27</v>
      </c>
      <c r="V15" s="402" t="s">
        <v>28</v>
      </c>
      <c r="W15" s="402" t="s">
        <v>29</v>
      </c>
      <c r="X15" s="402" t="s">
        <v>30</v>
      </c>
      <c r="Y15" s="403" t="s">
        <v>31</v>
      </c>
      <c r="Z15" s="404" t="s">
        <v>32</v>
      </c>
      <c r="AA15" s="23" t="s">
        <v>33</v>
      </c>
      <c r="AB15" s="22" t="s">
        <v>34</v>
      </c>
      <c r="AC15" s="22" t="s">
        <v>35</v>
      </c>
      <c r="AD15" s="24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05" t="s">
        <v>37</v>
      </c>
      <c r="AU15" s="405" t="s">
        <v>38</v>
      </c>
    </row>
    <row r="16" spans="2:47" s="26" customFormat="1" ht="22.5" x14ac:dyDescent="0.25">
      <c r="B16" s="27">
        <v>1</v>
      </c>
      <c r="C16" s="27" t="s">
        <v>508</v>
      </c>
      <c r="D16" s="50">
        <v>30381475</v>
      </c>
      <c r="E16" s="29" t="s">
        <v>1644</v>
      </c>
      <c r="F16" s="29" t="s">
        <v>54</v>
      </c>
      <c r="G16" s="30" t="s">
        <v>1645</v>
      </c>
      <c r="H16" s="42" t="s">
        <v>1646</v>
      </c>
      <c r="I16" s="88" t="s">
        <v>57</v>
      </c>
      <c r="J16" s="406">
        <v>48000</v>
      </c>
      <c r="K16" s="31">
        <v>0</v>
      </c>
      <c r="L16" s="31">
        <f t="shared" ref="L16:L79" si="0">J16-K16</f>
        <v>48000</v>
      </c>
      <c r="M16" s="31">
        <v>0</v>
      </c>
      <c r="N16" s="31">
        <v>0</v>
      </c>
      <c r="O16" s="31">
        <v>0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 t="shared" ref="Y16:Y45" si="1">SUM(M16:X16)</f>
        <v>0</v>
      </c>
      <c r="Z16" s="32">
        <v>48000</v>
      </c>
      <c r="AA16" s="33">
        <v>6</v>
      </c>
      <c r="AB16" s="34">
        <v>44215</v>
      </c>
      <c r="AC16" s="90">
        <v>44228</v>
      </c>
      <c r="AD16" s="32"/>
      <c r="AE16" s="35"/>
      <c r="AF16" s="36"/>
      <c r="AG16" s="89"/>
      <c r="AH16" s="32"/>
      <c r="AI16" s="33"/>
      <c r="AJ16" s="36"/>
      <c r="AK16" s="89"/>
      <c r="AL16" s="32"/>
      <c r="AM16" s="33"/>
      <c r="AN16" s="36"/>
      <c r="AO16" s="89"/>
      <c r="AP16" s="32"/>
      <c r="AQ16" s="33"/>
      <c r="AR16" s="36"/>
      <c r="AS16" s="89"/>
      <c r="AT16" s="37">
        <f t="shared" ref="AT16:AT79" si="2">+Z16+AD16+AH16+AL16+AP16</f>
        <v>48000</v>
      </c>
      <c r="AU16" s="38">
        <f t="shared" ref="AU16:AU79" si="3">+AT16-Y16</f>
        <v>48000</v>
      </c>
    </row>
    <row r="17" spans="2:47" s="26" customFormat="1" ht="22.5" x14ac:dyDescent="0.25">
      <c r="B17" s="27">
        <v>2</v>
      </c>
      <c r="C17" s="27" t="s">
        <v>514</v>
      </c>
      <c r="D17" s="50">
        <v>30033690</v>
      </c>
      <c r="E17" s="29" t="s">
        <v>1647</v>
      </c>
      <c r="F17" s="29" t="s">
        <v>54</v>
      </c>
      <c r="G17" s="30" t="s">
        <v>1645</v>
      </c>
      <c r="H17" s="42" t="s">
        <v>1648</v>
      </c>
      <c r="I17" s="88" t="s">
        <v>57</v>
      </c>
      <c r="J17" s="406">
        <v>13116769</v>
      </c>
      <c r="K17" s="31">
        <v>0</v>
      </c>
      <c r="L17" s="31">
        <f t="shared" si="0"/>
        <v>13116769</v>
      </c>
      <c r="M17" s="31">
        <v>0</v>
      </c>
      <c r="N17" s="31">
        <v>0</v>
      </c>
      <c r="O17" s="31">
        <v>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si="1"/>
        <v>0</v>
      </c>
      <c r="Z17" s="32">
        <v>79852</v>
      </c>
      <c r="AA17" s="33">
        <v>6</v>
      </c>
      <c r="AB17" s="34">
        <v>44215</v>
      </c>
      <c r="AC17" s="90">
        <v>44228</v>
      </c>
      <c r="AD17" s="32"/>
      <c r="AE17" s="35"/>
      <c r="AF17" s="36"/>
      <c r="AG17" s="89"/>
      <c r="AH17" s="32"/>
      <c r="AI17" s="33"/>
      <c r="AJ17" s="36"/>
      <c r="AK17" s="89"/>
      <c r="AL17" s="32"/>
      <c r="AM17" s="33"/>
      <c r="AN17" s="36"/>
      <c r="AO17" s="89"/>
      <c r="AP17" s="32"/>
      <c r="AQ17" s="33"/>
      <c r="AR17" s="36"/>
      <c r="AS17" s="89"/>
      <c r="AT17" s="37">
        <f t="shared" si="2"/>
        <v>79852</v>
      </c>
      <c r="AU17" s="38">
        <f t="shared" si="3"/>
        <v>79852</v>
      </c>
    </row>
    <row r="18" spans="2:47" s="26" customFormat="1" ht="22.5" x14ac:dyDescent="0.25">
      <c r="B18" s="27">
        <v>4</v>
      </c>
      <c r="C18" s="27" t="s">
        <v>514</v>
      </c>
      <c r="D18" s="50">
        <v>30069507</v>
      </c>
      <c r="E18" s="29" t="s">
        <v>1649</v>
      </c>
      <c r="F18" s="29" t="s">
        <v>54</v>
      </c>
      <c r="G18" s="30" t="s">
        <v>1645</v>
      </c>
      <c r="H18" s="42" t="s">
        <v>1650</v>
      </c>
      <c r="I18" s="88" t="s">
        <v>57</v>
      </c>
      <c r="J18" s="406">
        <v>3634610</v>
      </c>
      <c r="K18" s="31">
        <v>3553824</v>
      </c>
      <c r="L18" s="31">
        <f t="shared" si="0"/>
        <v>80786</v>
      </c>
      <c r="M18" s="31">
        <v>0</v>
      </c>
      <c r="N18" s="31">
        <v>448</v>
      </c>
      <c r="O18" s="31">
        <v>19498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1"/>
        <v>19946</v>
      </c>
      <c r="Z18" s="32">
        <v>80776</v>
      </c>
      <c r="AA18" s="33">
        <v>6</v>
      </c>
      <c r="AB18" s="34">
        <v>44215</v>
      </c>
      <c r="AC18" s="90">
        <v>44228</v>
      </c>
      <c r="AD18" s="32"/>
      <c r="AE18" s="35"/>
      <c r="AF18" s="36"/>
      <c r="AG18" s="89"/>
      <c r="AH18" s="32"/>
      <c r="AI18" s="33"/>
      <c r="AJ18" s="36"/>
      <c r="AK18" s="89"/>
      <c r="AL18" s="32"/>
      <c r="AM18" s="33"/>
      <c r="AN18" s="36"/>
      <c r="AO18" s="89"/>
      <c r="AP18" s="32"/>
      <c r="AQ18" s="33"/>
      <c r="AR18" s="36"/>
      <c r="AS18" s="89"/>
      <c r="AT18" s="37">
        <f t="shared" si="2"/>
        <v>80776</v>
      </c>
      <c r="AU18" s="38">
        <f t="shared" si="3"/>
        <v>60830</v>
      </c>
    </row>
    <row r="19" spans="2:47" s="26" customFormat="1" ht="22.5" x14ac:dyDescent="0.25">
      <c r="B19" s="27">
        <v>5</v>
      </c>
      <c r="C19" s="27" t="s">
        <v>514</v>
      </c>
      <c r="D19" s="50">
        <v>30071148</v>
      </c>
      <c r="E19" s="29" t="s">
        <v>1651</v>
      </c>
      <c r="F19" s="29" t="s">
        <v>54</v>
      </c>
      <c r="G19" s="30" t="s">
        <v>1645</v>
      </c>
      <c r="H19" s="42" t="s">
        <v>1652</v>
      </c>
      <c r="I19" s="88" t="s">
        <v>57</v>
      </c>
      <c r="J19" s="406">
        <v>1981736</v>
      </c>
      <c r="K19" s="31">
        <v>174626</v>
      </c>
      <c r="L19" s="31">
        <f t="shared" si="0"/>
        <v>1807110</v>
      </c>
      <c r="M19" s="31">
        <v>0</v>
      </c>
      <c r="N19" s="31">
        <v>0</v>
      </c>
      <c r="O19" s="31">
        <v>0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1"/>
        <v>0</v>
      </c>
      <c r="Z19" s="32">
        <v>4</v>
      </c>
      <c r="AA19" s="33">
        <v>6</v>
      </c>
      <c r="AB19" s="34">
        <v>44215</v>
      </c>
      <c r="AC19" s="90">
        <v>44228</v>
      </c>
      <c r="AD19" s="32"/>
      <c r="AE19" s="35"/>
      <c r="AF19" s="36"/>
      <c r="AG19" s="89"/>
      <c r="AH19" s="32"/>
      <c r="AI19" s="33"/>
      <c r="AJ19" s="36"/>
      <c r="AK19" s="89"/>
      <c r="AL19" s="32"/>
      <c r="AM19" s="33"/>
      <c r="AN19" s="36"/>
      <c r="AO19" s="89"/>
      <c r="AP19" s="32"/>
      <c r="AQ19" s="33"/>
      <c r="AR19" s="36"/>
      <c r="AS19" s="89"/>
      <c r="AT19" s="37">
        <f t="shared" si="2"/>
        <v>4</v>
      </c>
      <c r="AU19" s="38">
        <f t="shared" si="3"/>
        <v>4</v>
      </c>
    </row>
    <row r="20" spans="2:47" s="26" customFormat="1" ht="22.5" x14ac:dyDescent="0.25">
      <c r="B20" s="27">
        <v>6</v>
      </c>
      <c r="C20" s="27" t="s">
        <v>514</v>
      </c>
      <c r="D20" s="50">
        <v>30071574</v>
      </c>
      <c r="E20" s="29" t="s">
        <v>1653</v>
      </c>
      <c r="F20" s="29" t="s">
        <v>54</v>
      </c>
      <c r="G20" s="30" t="s">
        <v>1645</v>
      </c>
      <c r="H20" s="42" t="s">
        <v>1654</v>
      </c>
      <c r="I20" s="88" t="s">
        <v>57</v>
      </c>
      <c r="J20" s="406">
        <v>18582529</v>
      </c>
      <c r="K20" s="31">
        <v>1000</v>
      </c>
      <c r="L20" s="31">
        <f t="shared" si="0"/>
        <v>18581529</v>
      </c>
      <c r="M20" s="31">
        <v>0</v>
      </c>
      <c r="N20" s="31">
        <v>0</v>
      </c>
      <c r="O20" s="31">
        <v>0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1"/>
        <v>0</v>
      </c>
      <c r="Z20" s="32">
        <v>3</v>
      </c>
      <c r="AA20" s="33">
        <v>6</v>
      </c>
      <c r="AB20" s="34">
        <v>44215</v>
      </c>
      <c r="AC20" s="90">
        <v>44228</v>
      </c>
      <c r="AD20" s="32"/>
      <c r="AE20" s="35"/>
      <c r="AF20" s="36"/>
      <c r="AG20" s="89"/>
      <c r="AH20" s="32"/>
      <c r="AI20" s="33"/>
      <c r="AJ20" s="36"/>
      <c r="AK20" s="89"/>
      <c r="AL20" s="32"/>
      <c r="AM20" s="33"/>
      <c r="AN20" s="36"/>
      <c r="AO20" s="89"/>
      <c r="AP20" s="32"/>
      <c r="AQ20" s="33"/>
      <c r="AR20" s="36"/>
      <c r="AS20" s="89"/>
      <c r="AT20" s="37">
        <f t="shared" si="2"/>
        <v>3</v>
      </c>
      <c r="AU20" s="38">
        <f t="shared" si="3"/>
        <v>3</v>
      </c>
    </row>
    <row r="21" spans="2:47" s="26" customFormat="1" ht="22.5" x14ac:dyDescent="0.25">
      <c r="B21" s="27">
        <v>7</v>
      </c>
      <c r="C21" s="27" t="s">
        <v>514</v>
      </c>
      <c r="D21" s="50">
        <v>30076163</v>
      </c>
      <c r="E21" s="29" t="s">
        <v>1655</v>
      </c>
      <c r="F21" s="29" t="s">
        <v>54</v>
      </c>
      <c r="G21" s="30" t="s">
        <v>1645</v>
      </c>
      <c r="H21" s="42" t="s">
        <v>1656</v>
      </c>
      <c r="I21" s="88" t="s">
        <v>57</v>
      </c>
      <c r="J21" s="406">
        <v>1858359</v>
      </c>
      <c r="K21" s="31">
        <v>57920</v>
      </c>
      <c r="L21" s="31">
        <f t="shared" si="0"/>
        <v>1800439</v>
      </c>
      <c r="M21" s="31">
        <v>0</v>
      </c>
      <c r="N21" s="31">
        <v>0</v>
      </c>
      <c r="O21" s="31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1"/>
        <v>0</v>
      </c>
      <c r="Z21" s="32">
        <v>45002</v>
      </c>
      <c r="AA21" s="33">
        <v>6</v>
      </c>
      <c r="AB21" s="34">
        <v>44215</v>
      </c>
      <c r="AC21" s="90">
        <v>44228</v>
      </c>
      <c r="AD21" s="32"/>
      <c r="AE21" s="35"/>
      <c r="AF21" s="36"/>
      <c r="AG21" s="89"/>
      <c r="AH21" s="32"/>
      <c r="AI21" s="33"/>
      <c r="AJ21" s="36"/>
      <c r="AK21" s="89"/>
      <c r="AL21" s="32"/>
      <c r="AM21" s="33"/>
      <c r="AN21" s="36"/>
      <c r="AO21" s="89"/>
      <c r="AP21" s="32"/>
      <c r="AQ21" s="33"/>
      <c r="AR21" s="36"/>
      <c r="AS21" s="89"/>
      <c r="AT21" s="37">
        <f t="shared" si="2"/>
        <v>45002</v>
      </c>
      <c r="AU21" s="38">
        <f t="shared" si="3"/>
        <v>45002</v>
      </c>
    </row>
    <row r="22" spans="2:47" s="26" customFormat="1" ht="22.5" x14ac:dyDescent="0.25">
      <c r="B22" s="27">
        <v>8</v>
      </c>
      <c r="C22" s="27" t="s">
        <v>514</v>
      </c>
      <c r="D22" s="50">
        <v>30085480</v>
      </c>
      <c r="E22" s="29" t="s">
        <v>1657</v>
      </c>
      <c r="F22" s="29" t="s">
        <v>54</v>
      </c>
      <c r="G22" s="30" t="s">
        <v>1645</v>
      </c>
      <c r="H22" s="42" t="s">
        <v>1658</v>
      </c>
      <c r="I22" s="88" t="s">
        <v>57</v>
      </c>
      <c r="J22" s="406">
        <v>3585347</v>
      </c>
      <c r="K22" s="31">
        <v>713408</v>
      </c>
      <c r="L22" s="31">
        <f t="shared" si="0"/>
        <v>2871939</v>
      </c>
      <c r="M22" s="31">
        <v>0</v>
      </c>
      <c r="N22" s="31">
        <v>342361</v>
      </c>
      <c r="O22" s="31">
        <v>129410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1"/>
        <v>471771</v>
      </c>
      <c r="Z22" s="32">
        <v>1871939</v>
      </c>
      <c r="AA22" s="33">
        <v>6</v>
      </c>
      <c r="AB22" s="34">
        <v>44215</v>
      </c>
      <c r="AC22" s="90">
        <v>44228</v>
      </c>
      <c r="AD22" s="32"/>
      <c r="AE22" s="35"/>
      <c r="AF22" s="36"/>
      <c r="AG22" s="89"/>
      <c r="AH22" s="32"/>
      <c r="AI22" s="33"/>
      <c r="AJ22" s="36"/>
      <c r="AK22" s="89"/>
      <c r="AL22" s="32"/>
      <c r="AM22" s="33"/>
      <c r="AN22" s="36"/>
      <c r="AO22" s="89"/>
      <c r="AP22" s="32"/>
      <c r="AQ22" s="33"/>
      <c r="AR22" s="36"/>
      <c r="AS22" s="89"/>
      <c r="AT22" s="37">
        <f t="shared" si="2"/>
        <v>1871939</v>
      </c>
      <c r="AU22" s="38">
        <f t="shared" si="3"/>
        <v>1400168</v>
      </c>
    </row>
    <row r="23" spans="2:47" s="26" customFormat="1" ht="22.5" x14ac:dyDescent="0.25">
      <c r="B23" s="27">
        <v>9</v>
      </c>
      <c r="C23" s="27" t="s">
        <v>514</v>
      </c>
      <c r="D23" s="50">
        <v>30089742</v>
      </c>
      <c r="E23" s="29" t="s">
        <v>1659</v>
      </c>
      <c r="F23" s="29" t="s">
        <v>54</v>
      </c>
      <c r="G23" s="30" t="s">
        <v>1645</v>
      </c>
      <c r="H23" s="42" t="s">
        <v>1648</v>
      </c>
      <c r="I23" s="88" t="s">
        <v>57</v>
      </c>
      <c r="J23" s="406">
        <v>9445744</v>
      </c>
      <c r="K23" s="31">
        <v>7978641</v>
      </c>
      <c r="L23" s="31">
        <f t="shared" si="0"/>
        <v>1467103</v>
      </c>
      <c r="M23" s="31">
        <v>0</v>
      </c>
      <c r="N23" s="31">
        <v>91949</v>
      </c>
      <c r="O23" s="31">
        <v>42218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1"/>
        <v>134167</v>
      </c>
      <c r="Z23" s="32">
        <v>1467105</v>
      </c>
      <c r="AA23" s="33">
        <v>6</v>
      </c>
      <c r="AB23" s="34">
        <v>44215</v>
      </c>
      <c r="AC23" s="90">
        <v>44228</v>
      </c>
      <c r="AD23" s="32"/>
      <c r="AE23" s="35"/>
      <c r="AF23" s="36"/>
      <c r="AG23" s="89"/>
      <c r="AH23" s="32"/>
      <c r="AI23" s="33"/>
      <c r="AJ23" s="36"/>
      <c r="AK23" s="89"/>
      <c r="AL23" s="32"/>
      <c r="AM23" s="33"/>
      <c r="AN23" s="36"/>
      <c r="AO23" s="89"/>
      <c r="AP23" s="32"/>
      <c r="AQ23" s="33"/>
      <c r="AR23" s="36"/>
      <c r="AS23" s="89"/>
      <c r="AT23" s="37">
        <f t="shared" si="2"/>
        <v>1467105</v>
      </c>
      <c r="AU23" s="38">
        <f t="shared" si="3"/>
        <v>1332938</v>
      </c>
    </row>
    <row r="24" spans="2:47" s="26" customFormat="1" ht="22.5" x14ac:dyDescent="0.25">
      <c r="B24" s="27">
        <v>10</v>
      </c>
      <c r="C24" s="27" t="s">
        <v>514</v>
      </c>
      <c r="D24" s="50">
        <v>30093537</v>
      </c>
      <c r="E24" s="29" t="s">
        <v>1660</v>
      </c>
      <c r="F24" s="29" t="s">
        <v>54</v>
      </c>
      <c r="G24" s="30" t="s">
        <v>1645</v>
      </c>
      <c r="H24" s="42" t="s">
        <v>1648</v>
      </c>
      <c r="I24" s="88" t="s">
        <v>57</v>
      </c>
      <c r="J24" s="406">
        <v>829765</v>
      </c>
      <c r="K24" s="31">
        <v>386272</v>
      </c>
      <c r="L24" s="31">
        <f t="shared" si="0"/>
        <v>443493</v>
      </c>
      <c r="M24" s="31">
        <v>0</v>
      </c>
      <c r="N24" s="31">
        <v>428408</v>
      </c>
      <c r="O24" s="31">
        <v>4616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1"/>
        <v>433024</v>
      </c>
      <c r="Z24" s="32">
        <v>443494</v>
      </c>
      <c r="AA24" s="33">
        <v>6</v>
      </c>
      <c r="AB24" s="34">
        <v>44215</v>
      </c>
      <c r="AC24" s="90">
        <v>44228</v>
      </c>
      <c r="AD24" s="32"/>
      <c r="AE24" s="35"/>
      <c r="AF24" s="36"/>
      <c r="AG24" s="89"/>
      <c r="AH24" s="32"/>
      <c r="AI24" s="33"/>
      <c r="AJ24" s="36"/>
      <c r="AK24" s="89"/>
      <c r="AL24" s="32"/>
      <c r="AM24" s="33"/>
      <c r="AN24" s="36"/>
      <c r="AO24" s="89"/>
      <c r="AP24" s="32"/>
      <c r="AQ24" s="33"/>
      <c r="AR24" s="36"/>
      <c r="AS24" s="89"/>
      <c r="AT24" s="37">
        <f t="shared" si="2"/>
        <v>443494</v>
      </c>
      <c r="AU24" s="38">
        <f t="shared" si="3"/>
        <v>10470</v>
      </c>
    </row>
    <row r="25" spans="2:47" s="26" customFormat="1" ht="22.5" x14ac:dyDescent="0.25">
      <c r="B25" s="27">
        <v>11</v>
      </c>
      <c r="C25" s="27" t="s">
        <v>514</v>
      </c>
      <c r="D25" s="50">
        <v>30094259</v>
      </c>
      <c r="E25" s="29" t="s">
        <v>1661</v>
      </c>
      <c r="F25" s="29" t="s">
        <v>54</v>
      </c>
      <c r="G25" s="30" t="s">
        <v>1645</v>
      </c>
      <c r="H25" s="42" t="s">
        <v>1648</v>
      </c>
      <c r="I25" s="88" t="s">
        <v>72</v>
      </c>
      <c r="J25" s="406">
        <v>71280</v>
      </c>
      <c r="K25" s="31">
        <v>0</v>
      </c>
      <c r="L25" s="31">
        <f t="shared" si="0"/>
        <v>71280</v>
      </c>
      <c r="M25" s="31">
        <v>0</v>
      </c>
      <c r="N25" s="31">
        <v>0</v>
      </c>
      <c r="O25" s="31">
        <v>0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1"/>
        <v>0</v>
      </c>
      <c r="Z25" s="32">
        <v>71279</v>
      </c>
      <c r="AA25" s="33">
        <v>6</v>
      </c>
      <c r="AB25" s="34">
        <v>44215</v>
      </c>
      <c r="AC25" s="90">
        <v>44228</v>
      </c>
      <c r="AD25" s="32"/>
      <c r="AE25" s="35"/>
      <c r="AF25" s="36"/>
      <c r="AG25" s="89"/>
      <c r="AH25" s="32"/>
      <c r="AI25" s="33"/>
      <c r="AJ25" s="36"/>
      <c r="AK25" s="89"/>
      <c r="AL25" s="32"/>
      <c r="AM25" s="33"/>
      <c r="AN25" s="36"/>
      <c r="AO25" s="89"/>
      <c r="AP25" s="32"/>
      <c r="AQ25" s="33"/>
      <c r="AR25" s="36"/>
      <c r="AS25" s="89"/>
      <c r="AT25" s="37">
        <f t="shared" si="2"/>
        <v>71279</v>
      </c>
      <c r="AU25" s="38">
        <f t="shared" si="3"/>
        <v>71279</v>
      </c>
    </row>
    <row r="26" spans="2:47" s="26" customFormat="1" ht="22.5" x14ac:dyDescent="0.25">
      <c r="B26" s="27">
        <v>12</v>
      </c>
      <c r="C26" s="27" t="s">
        <v>514</v>
      </c>
      <c r="D26" s="50">
        <v>30103009</v>
      </c>
      <c r="E26" s="29" t="s">
        <v>1662</v>
      </c>
      <c r="F26" s="29" t="s">
        <v>54</v>
      </c>
      <c r="G26" s="30" t="s">
        <v>1645</v>
      </c>
      <c r="H26" s="42" t="s">
        <v>1648</v>
      </c>
      <c r="I26" s="88" t="s">
        <v>72</v>
      </c>
      <c r="J26" s="406">
        <v>1168195</v>
      </c>
      <c r="K26" s="31">
        <v>0</v>
      </c>
      <c r="L26" s="31">
        <f t="shared" si="0"/>
        <v>1168195</v>
      </c>
      <c r="M26" s="31">
        <v>0</v>
      </c>
      <c r="N26" s="31">
        <v>0</v>
      </c>
      <c r="O26" s="31">
        <v>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1"/>
        <v>0</v>
      </c>
      <c r="Z26" s="32">
        <v>811964</v>
      </c>
      <c r="AA26" s="33">
        <v>6</v>
      </c>
      <c r="AB26" s="34">
        <v>44215</v>
      </c>
      <c r="AC26" s="90">
        <v>44228</v>
      </c>
      <c r="AD26" s="32"/>
      <c r="AE26" s="35"/>
      <c r="AF26" s="36"/>
      <c r="AG26" s="89"/>
      <c r="AH26" s="32"/>
      <c r="AI26" s="33"/>
      <c r="AJ26" s="36"/>
      <c r="AK26" s="89"/>
      <c r="AL26" s="32"/>
      <c r="AM26" s="33"/>
      <c r="AN26" s="36"/>
      <c r="AO26" s="89"/>
      <c r="AP26" s="32"/>
      <c r="AQ26" s="33"/>
      <c r="AR26" s="36"/>
      <c r="AS26" s="89"/>
      <c r="AT26" s="37">
        <f t="shared" si="2"/>
        <v>811964</v>
      </c>
      <c r="AU26" s="38">
        <f t="shared" si="3"/>
        <v>811964</v>
      </c>
    </row>
    <row r="27" spans="2:47" s="26" customFormat="1" ht="22.5" x14ac:dyDescent="0.25">
      <c r="B27" s="27">
        <v>13</v>
      </c>
      <c r="C27" s="27" t="s">
        <v>514</v>
      </c>
      <c r="D27" s="50">
        <v>30103293</v>
      </c>
      <c r="E27" s="29" t="s">
        <v>1663</v>
      </c>
      <c r="F27" s="29" t="s">
        <v>54</v>
      </c>
      <c r="G27" s="30" t="s">
        <v>1645</v>
      </c>
      <c r="H27" s="42" t="s">
        <v>1648</v>
      </c>
      <c r="I27" s="88" t="s">
        <v>57</v>
      </c>
      <c r="J27" s="406">
        <v>820062</v>
      </c>
      <c r="K27" s="31">
        <v>783680</v>
      </c>
      <c r="L27" s="31">
        <f t="shared" si="0"/>
        <v>36382</v>
      </c>
      <c r="M27" s="31">
        <v>0</v>
      </c>
      <c r="N27" s="31">
        <v>36383</v>
      </c>
      <c r="O27" s="31">
        <v>0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1"/>
        <v>36383</v>
      </c>
      <c r="Z27" s="32">
        <v>36383</v>
      </c>
      <c r="AA27" s="33">
        <v>6</v>
      </c>
      <c r="AB27" s="34">
        <v>44215</v>
      </c>
      <c r="AC27" s="90">
        <v>44228</v>
      </c>
      <c r="AD27" s="32"/>
      <c r="AE27" s="35"/>
      <c r="AF27" s="36"/>
      <c r="AG27" s="89"/>
      <c r="AH27" s="32"/>
      <c r="AI27" s="33"/>
      <c r="AJ27" s="36"/>
      <c r="AK27" s="89"/>
      <c r="AL27" s="32"/>
      <c r="AM27" s="33"/>
      <c r="AN27" s="36"/>
      <c r="AO27" s="89"/>
      <c r="AP27" s="32"/>
      <c r="AQ27" s="33"/>
      <c r="AR27" s="36"/>
      <c r="AS27" s="89"/>
      <c r="AT27" s="37">
        <f t="shared" si="2"/>
        <v>36383</v>
      </c>
      <c r="AU27" s="38">
        <f t="shared" si="3"/>
        <v>0</v>
      </c>
    </row>
    <row r="28" spans="2:47" s="26" customFormat="1" ht="22.5" x14ac:dyDescent="0.25">
      <c r="B28" s="27">
        <v>15</v>
      </c>
      <c r="C28" s="27" t="s">
        <v>514</v>
      </c>
      <c r="D28" s="50">
        <v>30103888</v>
      </c>
      <c r="E28" s="29" t="s">
        <v>1664</v>
      </c>
      <c r="F28" s="29" t="s">
        <v>54</v>
      </c>
      <c r="G28" s="30" t="s">
        <v>1645</v>
      </c>
      <c r="H28" s="42" t="s">
        <v>1665</v>
      </c>
      <c r="I28" s="88" t="s">
        <v>57</v>
      </c>
      <c r="J28" s="406">
        <v>2669524</v>
      </c>
      <c r="K28" s="31">
        <v>10740</v>
      </c>
      <c r="L28" s="31">
        <f t="shared" si="0"/>
        <v>2658784</v>
      </c>
      <c r="M28" s="31">
        <v>0</v>
      </c>
      <c r="N28" s="31">
        <v>0</v>
      </c>
      <c r="O28" s="31">
        <v>0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1"/>
        <v>0</v>
      </c>
      <c r="Z28" s="32">
        <v>212250</v>
      </c>
      <c r="AA28" s="33">
        <v>6</v>
      </c>
      <c r="AB28" s="34">
        <v>44215</v>
      </c>
      <c r="AC28" s="90">
        <v>44228</v>
      </c>
      <c r="AD28" s="32"/>
      <c r="AE28" s="35"/>
      <c r="AF28" s="36"/>
      <c r="AG28" s="89"/>
      <c r="AH28" s="32"/>
      <c r="AI28" s="33"/>
      <c r="AJ28" s="36"/>
      <c r="AK28" s="89"/>
      <c r="AL28" s="32"/>
      <c r="AM28" s="33"/>
      <c r="AN28" s="36"/>
      <c r="AO28" s="89"/>
      <c r="AP28" s="32"/>
      <c r="AQ28" s="33"/>
      <c r="AR28" s="36"/>
      <c r="AS28" s="89"/>
      <c r="AT28" s="37">
        <f t="shared" si="2"/>
        <v>212250</v>
      </c>
      <c r="AU28" s="38">
        <f t="shared" si="3"/>
        <v>212250</v>
      </c>
    </row>
    <row r="29" spans="2:47" s="26" customFormat="1" ht="22.5" x14ac:dyDescent="0.25">
      <c r="B29" s="27">
        <v>16</v>
      </c>
      <c r="C29" s="27" t="s">
        <v>514</v>
      </c>
      <c r="D29" s="50">
        <v>30104061</v>
      </c>
      <c r="E29" s="29" t="s">
        <v>1666</v>
      </c>
      <c r="F29" s="29" t="s">
        <v>54</v>
      </c>
      <c r="G29" s="30" t="s">
        <v>1645</v>
      </c>
      <c r="H29" s="42" t="s">
        <v>1648</v>
      </c>
      <c r="I29" s="88" t="s">
        <v>57</v>
      </c>
      <c r="J29" s="406">
        <v>5368974</v>
      </c>
      <c r="K29" s="31">
        <v>19259</v>
      </c>
      <c r="L29" s="31">
        <f t="shared" si="0"/>
        <v>5349715</v>
      </c>
      <c r="M29" s="31">
        <v>0</v>
      </c>
      <c r="N29" s="31">
        <v>0</v>
      </c>
      <c r="O29" s="31">
        <v>0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1"/>
        <v>0</v>
      </c>
      <c r="Z29" s="32">
        <v>3</v>
      </c>
      <c r="AA29" s="33">
        <v>6</v>
      </c>
      <c r="AB29" s="34">
        <v>44215</v>
      </c>
      <c r="AC29" s="90">
        <v>44228</v>
      </c>
      <c r="AD29" s="32"/>
      <c r="AE29" s="35"/>
      <c r="AF29" s="36"/>
      <c r="AG29" s="89"/>
      <c r="AH29" s="32"/>
      <c r="AI29" s="33"/>
      <c r="AJ29" s="36"/>
      <c r="AK29" s="89"/>
      <c r="AL29" s="32"/>
      <c r="AM29" s="33"/>
      <c r="AN29" s="36"/>
      <c r="AO29" s="89"/>
      <c r="AP29" s="32"/>
      <c r="AQ29" s="33"/>
      <c r="AR29" s="36"/>
      <c r="AS29" s="89"/>
      <c r="AT29" s="37">
        <f t="shared" si="2"/>
        <v>3</v>
      </c>
      <c r="AU29" s="38">
        <f t="shared" si="3"/>
        <v>3</v>
      </c>
    </row>
    <row r="30" spans="2:47" s="26" customFormat="1" ht="22.5" x14ac:dyDescent="0.25">
      <c r="B30" s="27">
        <v>17</v>
      </c>
      <c r="C30" s="27" t="s">
        <v>514</v>
      </c>
      <c r="D30" s="50">
        <v>30104105</v>
      </c>
      <c r="E30" s="29" t="s">
        <v>1667</v>
      </c>
      <c r="F30" s="29" t="s">
        <v>54</v>
      </c>
      <c r="G30" s="30" t="s">
        <v>1645</v>
      </c>
      <c r="H30" s="42" t="s">
        <v>1648</v>
      </c>
      <c r="I30" s="88" t="s">
        <v>57</v>
      </c>
      <c r="J30" s="406">
        <v>6328584</v>
      </c>
      <c r="K30" s="31">
        <v>6653</v>
      </c>
      <c r="L30" s="31">
        <f t="shared" si="0"/>
        <v>6321931</v>
      </c>
      <c r="M30" s="31">
        <v>0</v>
      </c>
      <c r="N30" s="31">
        <v>0</v>
      </c>
      <c r="O30" s="31">
        <v>0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1"/>
        <v>0</v>
      </c>
      <c r="Z30" s="32">
        <v>65255</v>
      </c>
      <c r="AA30" s="33">
        <v>6</v>
      </c>
      <c r="AB30" s="34">
        <v>44215</v>
      </c>
      <c r="AC30" s="90">
        <v>44228</v>
      </c>
      <c r="AD30" s="32"/>
      <c r="AE30" s="35"/>
      <c r="AF30" s="36"/>
      <c r="AG30" s="89"/>
      <c r="AH30" s="32"/>
      <c r="AI30" s="33"/>
      <c r="AJ30" s="36"/>
      <c r="AK30" s="89"/>
      <c r="AL30" s="32"/>
      <c r="AM30" s="33"/>
      <c r="AN30" s="36"/>
      <c r="AO30" s="89"/>
      <c r="AP30" s="32"/>
      <c r="AQ30" s="33"/>
      <c r="AR30" s="36"/>
      <c r="AS30" s="89"/>
      <c r="AT30" s="37">
        <f t="shared" si="2"/>
        <v>65255</v>
      </c>
      <c r="AU30" s="38">
        <f t="shared" si="3"/>
        <v>65255</v>
      </c>
    </row>
    <row r="31" spans="2:47" s="26" customFormat="1" ht="22.5" x14ac:dyDescent="0.25">
      <c r="B31" s="27">
        <v>18</v>
      </c>
      <c r="C31" s="27" t="s">
        <v>514</v>
      </c>
      <c r="D31" s="50">
        <v>30104209</v>
      </c>
      <c r="E31" s="29" t="s">
        <v>1668</v>
      </c>
      <c r="F31" s="29" t="s">
        <v>54</v>
      </c>
      <c r="G31" s="30" t="s">
        <v>1645</v>
      </c>
      <c r="H31" s="42" t="s">
        <v>1656</v>
      </c>
      <c r="I31" s="88" t="s">
        <v>72</v>
      </c>
      <c r="J31" s="406">
        <v>411062</v>
      </c>
      <c r="K31" s="31">
        <v>0</v>
      </c>
      <c r="L31" s="31">
        <f t="shared" si="0"/>
        <v>411062</v>
      </c>
      <c r="M31" s="31">
        <v>0</v>
      </c>
      <c r="N31" s="31">
        <v>0</v>
      </c>
      <c r="O31" s="31">
        <v>0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1"/>
        <v>0</v>
      </c>
      <c r="Z31" s="32">
        <v>100291</v>
      </c>
      <c r="AA31" s="33">
        <v>6</v>
      </c>
      <c r="AB31" s="34">
        <v>44215</v>
      </c>
      <c r="AC31" s="90">
        <v>44228</v>
      </c>
      <c r="AD31" s="32"/>
      <c r="AE31" s="35"/>
      <c r="AF31" s="36"/>
      <c r="AG31" s="89"/>
      <c r="AH31" s="32"/>
      <c r="AI31" s="33"/>
      <c r="AJ31" s="36"/>
      <c r="AK31" s="89"/>
      <c r="AL31" s="32"/>
      <c r="AM31" s="33"/>
      <c r="AN31" s="36"/>
      <c r="AO31" s="89"/>
      <c r="AP31" s="32"/>
      <c r="AQ31" s="33"/>
      <c r="AR31" s="36"/>
      <c r="AS31" s="89"/>
      <c r="AT31" s="37">
        <f t="shared" si="2"/>
        <v>100291</v>
      </c>
      <c r="AU31" s="38">
        <f t="shared" si="3"/>
        <v>100291</v>
      </c>
    </row>
    <row r="32" spans="2:47" s="26" customFormat="1" ht="22.5" x14ac:dyDescent="0.25">
      <c r="B32" s="27">
        <v>19</v>
      </c>
      <c r="C32" s="27" t="s">
        <v>514</v>
      </c>
      <c r="D32" s="50">
        <v>30105664</v>
      </c>
      <c r="E32" s="29" t="s">
        <v>1669</v>
      </c>
      <c r="F32" s="29" t="s">
        <v>54</v>
      </c>
      <c r="G32" s="30" t="s">
        <v>1645</v>
      </c>
      <c r="H32" s="42" t="s">
        <v>1670</v>
      </c>
      <c r="I32" s="88" t="s">
        <v>57</v>
      </c>
      <c r="J32" s="406">
        <v>5229665</v>
      </c>
      <c r="K32" s="31">
        <v>29552</v>
      </c>
      <c r="L32" s="31">
        <f t="shared" si="0"/>
        <v>5200113</v>
      </c>
      <c r="M32" s="31">
        <v>0</v>
      </c>
      <c r="N32" s="31">
        <v>0</v>
      </c>
      <c r="O32" s="31">
        <v>37813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1"/>
        <v>37813</v>
      </c>
      <c r="Z32" s="32">
        <v>669303</v>
      </c>
      <c r="AA32" s="33">
        <v>6</v>
      </c>
      <c r="AB32" s="34">
        <v>44215</v>
      </c>
      <c r="AC32" s="90">
        <v>44228</v>
      </c>
      <c r="AD32" s="32"/>
      <c r="AE32" s="35"/>
      <c r="AF32" s="36"/>
      <c r="AG32" s="89"/>
      <c r="AH32" s="32"/>
      <c r="AI32" s="33"/>
      <c r="AJ32" s="36"/>
      <c r="AK32" s="89"/>
      <c r="AL32" s="32"/>
      <c r="AM32" s="33"/>
      <c r="AN32" s="36"/>
      <c r="AO32" s="89"/>
      <c r="AP32" s="32"/>
      <c r="AQ32" s="33"/>
      <c r="AR32" s="36"/>
      <c r="AS32" s="89"/>
      <c r="AT32" s="37">
        <f t="shared" si="2"/>
        <v>669303</v>
      </c>
      <c r="AU32" s="38">
        <f t="shared" si="3"/>
        <v>631490</v>
      </c>
    </row>
    <row r="33" spans="2:47" s="26" customFormat="1" ht="22.5" x14ac:dyDescent="0.25">
      <c r="B33" s="27">
        <v>20</v>
      </c>
      <c r="C33" s="27" t="s">
        <v>514</v>
      </c>
      <c r="D33" s="50">
        <v>30113161</v>
      </c>
      <c r="E33" s="29" t="s">
        <v>1671</v>
      </c>
      <c r="F33" s="29" t="s">
        <v>54</v>
      </c>
      <c r="G33" s="30" t="s">
        <v>1645</v>
      </c>
      <c r="H33" s="42" t="s">
        <v>1648</v>
      </c>
      <c r="I33" s="88" t="s">
        <v>57</v>
      </c>
      <c r="J33" s="406">
        <v>2658230</v>
      </c>
      <c r="K33" s="31">
        <v>2651781</v>
      </c>
      <c r="L33" s="31">
        <f t="shared" si="0"/>
        <v>6449</v>
      </c>
      <c r="M33" s="31">
        <v>0</v>
      </c>
      <c r="N33" s="31">
        <v>0</v>
      </c>
      <c r="O33" s="31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1"/>
        <v>0</v>
      </c>
      <c r="Z33" s="32">
        <v>6449</v>
      </c>
      <c r="AA33" s="33">
        <v>6</v>
      </c>
      <c r="AB33" s="34">
        <v>44215</v>
      </c>
      <c r="AC33" s="90">
        <v>44228</v>
      </c>
      <c r="AD33" s="32"/>
      <c r="AE33" s="35"/>
      <c r="AF33" s="36"/>
      <c r="AG33" s="89"/>
      <c r="AH33" s="32"/>
      <c r="AI33" s="33"/>
      <c r="AJ33" s="36"/>
      <c r="AK33" s="89"/>
      <c r="AL33" s="32"/>
      <c r="AM33" s="33"/>
      <c r="AN33" s="36"/>
      <c r="AO33" s="89"/>
      <c r="AP33" s="32"/>
      <c r="AQ33" s="33"/>
      <c r="AR33" s="36"/>
      <c r="AS33" s="89"/>
      <c r="AT33" s="37">
        <f t="shared" si="2"/>
        <v>6449</v>
      </c>
      <c r="AU33" s="38">
        <f t="shared" si="3"/>
        <v>6449</v>
      </c>
    </row>
    <row r="34" spans="2:47" s="26" customFormat="1" ht="22.5" x14ac:dyDescent="0.25">
      <c r="B34" s="27">
        <v>21</v>
      </c>
      <c r="C34" s="27" t="s">
        <v>514</v>
      </c>
      <c r="D34" s="50">
        <v>30113410</v>
      </c>
      <c r="E34" s="29" t="s">
        <v>1672</v>
      </c>
      <c r="F34" s="29" t="s">
        <v>54</v>
      </c>
      <c r="G34" s="30" t="s">
        <v>1645</v>
      </c>
      <c r="H34" s="42" t="s">
        <v>1673</v>
      </c>
      <c r="I34" s="88" t="s">
        <v>57</v>
      </c>
      <c r="J34" s="406">
        <v>1911755</v>
      </c>
      <c r="K34" s="31">
        <v>815712</v>
      </c>
      <c r="L34" s="31">
        <f t="shared" si="0"/>
        <v>1096043</v>
      </c>
      <c r="M34" s="31">
        <v>0</v>
      </c>
      <c r="N34" s="31">
        <v>270237</v>
      </c>
      <c r="O34" s="31">
        <v>504442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1"/>
        <v>774679</v>
      </c>
      <c r="Z34" s="32">
        <v>1095691</v>
      </c>
      <c r="AA34" s="33">
        <v>6</v>
      </c>
      <c r="AB34" s="34">
        <v>44215</v>
      </c>
      <c r="AC34" s="90">
        <v>44228</v>
      </c>
      <c r="AD34" s="32"/>
      <c r="AE34" s="35"/>
      <c r="AF34" s="36"/>
      <c r="AG34" s="89"/>
      <c r="AH34" s="32"/>
      <c r="AI34" s="33"/>
      <c r="AJ34" s="36"/>
      <c r="AK34" s="89"/>
      <c r="AL34" s="32"/>
      <c r="AM34" s="33"/>
      <c r="AN34" s="36"/>
      <c r="AO34" s="89"/>
      <c r="AP34" s="32"/>
      <c r="AQ34" s="33"/>
      <c r="AR34" s="36"/>
      <c r="AS34" s="89"/>
      <c r="AT34" s="37">
        <f t="shared" si="2"/>
        <v>1095691</v>
      </c>
      <c r="AU34" s="38">
        <f t="shared" si="3"/>
        <v>321012</v>
      </c>
    </row>
    <row r="35" spans="2:47" s="26" customFormat="1" ht="22.5" x14ac:dyDescent="0.25">
      <c r="B35" s="27">
        <v>22</v>
      </c>
      <c r="C35" s="27" t="s">
        <v>514</v>
      </c>
      <c r="D35" s="50">
        <v>30114697</v>
      </c>
      <c r="E35" s="29" t="s">
        <v>1674</v>
      </c>
      <c r="F35" s="29" t="s">
        <v>54</v>
      </c>
      <c r="G35" s="30" t="s">
        <v>1645</v>
      </c>
      <c r="H35" s="42" t="s">
        <v>1670</v>
      </c>
      <c r="I35" s="88" t="s">
        <v>57</v>
      </c>
      <c r="J35" s="406">
        <v>1029457</v>
      </c>
      <c r="K35" s="31">
        <v>1027166</v>
      </c>
      <c r="L35" s="31">
        <f t="shared" si="0"/>
        <v>2291</v>
      </c>
      <c r="M35" s="31">
        <v>0</v>
      </c>
      <c r="N35" s="31">
        <v>0</v>
      </c>
      <c r="O35" s="31">
        <v>0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1"/>
        <v>0</v>
      </c>
      <c r="Z35" s="32">
        <v>2292</v>
      </c>
      <c r="AA35" s="33">
        <v>6</v>
      </c>
      <c r="AB35" s="34">
        <v>44215</v>
      </c>
      <c r="AC35" s="90">
        <v>44228</v>
      </c>
      <c r="AD35" s="32"/>
      <c r="AE35" s="35"/>
      <c r="AF35" s="36"/>
      <c r="AG35" s="89"/>
      <c r="AH35" s="32"/>
      <c r="AI35" s="33"/>
      <c r="AJ35" s="36"/>
      <c r="AK35" s="89"/>
      <c r="AL35" s="32"/>
      <c r="AM35" s="33"/>
      <c r="AN35" s="36"/>
      <c r="AO35" s="89"/>
      <c r="AP35" s="32"/>
      <c r="AQ35" s="33"/>
      <c r="AR35" s="36"/>
      <c r="AS35" s="89"/>
      <c r="AT35" s="37">
        <f t="shared" si="2"/>
        <v>2292</v>
      </c>
      <c r="AU35" s="38">
        <f t="shared" si="3"/>
        <v>2292</v>
      </c>
    </row>
    <row r="36" spans="2:47" s="26" customFormat="1" ht="22.5" x14ac:dyDescent="0.25">
      <c r="B36" s="27">
        <v>23</v>
      </c>
      <c r="C36" s="27" t="s">
        <v>514</v>
      </c>
      <c r="D36" s="50">
        <v>30119106</v>
      </c>
      <c r="E36" s="29" t="s">
        <v>1675</v>
      </c>
      <c r="F36" s="29" t="s">
        <v>54</v>
      </c>
      <c r="G36" s="30" t="s">
        <v>1645</v>
      </c>
      <c r="H36" s="42" t="s">
        <v>1665</v>
      </c>
      <c r="I36" s="88" t="s">
        <v>57</v>
      </c>
      <c r="J36" s="406">
        <v>1245190</v>
      </c>
      <c r="K36" s="31">
        <v>1014405</v>
      </c>
      <c r="L36" s="31">
        <f t="shared" si="0"/>
        <v>230785</v>
      </c>
      <c r="M36" s="31">
        <v>0</v>
      </c>
      <c r="N36" s="31">
        <v>158733</v>
      </c>
      <c r="O36" s="31">
        <v>49199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1"/>
        <v>207932</v>
      </c>
      <c r="Z36" s="32">
        <v>230787</v>
      </c>
      <c r="AA36" s="33">
        <v>6</v>
      </c>
      <c r="AB36" s="34">
        <v>44215</v>
      </c>
      <c r="AC36" s="90">
        <v>44228</v>
      </c>
      <c r="AD36" s="32"/>
      <c r="AE36" s="35"/>
      <c r="AF36" s="36"/>
      <c r="AG36" s="89"/>
      <c r="AH36" s="32"/>
      <c r="AI36" s="33"/>
      <c r="AJ36" s="36"/>
      <c r="AK36" s="89"/>
      <c r="AL36" s="32"/>
      <c r="AM36" s="33"/>
      <c r="AN36" s="36"/>
      <c r="AO36" s="89"/>
      <c r="AP36" s="32"/>
      <c r="AQ36" s="33"/>
      <c r="AR36" s="36"/>
      <c r="AS36" s="89"/>
      <c r="AT36" s="37">
        <f t="shared" si="2"/>
        <v>230787</v>
      </c>
      <c r="AU36" s="38">
        <f t="shared" si="3"/>
        <v>22855</v>
      </c>
    </row>
    <row r="37" spans="2:47" s="26" customFormat="1" ht="22.5" x14ac:dyDescent="0.25">
      <c r="B37" s="27">
        <v>24</v>
      </c>
      <c r="C37" s="27" t="s">
        <v>514</v>
      </c>
      <c r="D37" s="50">
        <v>30121105</v>
      </c>
      <c r="E37" s="29" t="s">
        <v>1676</v>
      </c>
      <c r="F37" s="29" t="s">
        <v>54</v>
      </c>
      <c r="G37" s="30" t="s">
        <v>1645</v>
      </c>
      <c r="H37" s="42" t="s">
        <v>93</v>
      </c>
      <c r="I37" s="88" t="s">
        <v>72</v>
      </c>
      <c r="J37" s="406">
        <v>3670738</v>
      </c>
      <c r="K37" s="31">
        <v>0</v>
      </c>
      <c r="L37" s="31">
        <f t="shared" si="0"/>
        <v>3670738</v>
      </c>
      <c r="M37" s="31">
        <v>0</v>
      </c>
      <c r="N37" s="31">
        <v>0</v>
      </c>
      <c r="O37" s="31">
        <v>0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1"/>
        <v>0</v>
      </c>
      <c r="Z37" s="32">
        <v>2</v>
      </c>
      <c r="AA37" s="33">
        <v>6</v>
      </c>
      <c r="AB37" s="34">
        <v>44215</v>
      </c>
      <c r="AC37" s="90">
        <v>44228</v>
      </c>
      <c r="AD37" s="32"/>
      <c r="AE37" s="35"/>
      <c r="AF37" s="36"/>
      <c r="AG37" s="89"/>
      <c r="AH37" s="32"/>
      <c r="AI37" s="33"/>
      <c r="AJ37" s="36"/>
      <c r="AK37" s="89"/>
      <c r="AL37" s="32"/>
      <c r="AM37" s="33"/>
      <c r="AN37" s="36"/>
      <c r="AO37" s="89"/>
      <c r="AP37" s="32"/>
      <c r="AQ37" s="33"/>
      <c r="AR37" s="36"/>
      <c r="AS37" s="89"/>
      <c r="AT37" s="37">
        <f t="shared" si="2"/>
        <v>2</v>
      </c>
      <c r="AU37" s="38">
        <f t="shared" si="3"/>
        <v>2</v>
      </c>
    </row>
    <row r="38" spans="2:47" s="26" customFormat="1" ht="22.5" x14ac:dyDescent="0.25">
      <c r="B38" s="27">
        <v>25</v>
      </c>
      <c r="C38" s="27" t="s">
        <v>514</v>
      </c>
      <c r="D38" s="50">
        <v>30123231</v>
      </c>
      <c r="E38" s="29" t="s">
        <v>1677</v>
      </c>
      <c r="F38" s="29" t="s">
        <v>54</v>
      </c>
      <c r="G38" s="30" t="s">
        <v>1645</v>
      </c>
      <c r="H38" s="42" t="s">
        <v>93</v>
      </c>
      <c r="I38" s="88" t="s">
        <v>57</v>
      </c>
      <c r="J38" s="406">
        <v>6309129</v>
      </c>
      <c r="K38" s="31">
        <v>6152243</v>
      </c>
      <c r="L38" s="31">
        <f t="shared" si="0"/>
        <v>156886</v>
      </c>
      <c r="M38" s="31">
        <v>0</v>
      </c>
      <c r="N38" s="31">
        <v>0</v>
      </c>
      <c r="O38" s="31">
        <v>20403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1"/>
        <v>20403</v>
      </c>
      <c r="Z38" s="32">
        <v>155943</v>
      </c>
      <c r="AA38" s="33">
        <v>6</v>
      </c>
      <c r="AB38" s="34">
        <v>44215</v>
      </c>
      <c r="AC38" s="90">
        <v>44228</v>
      </c>
      <c r="AD38" s="32"/>
      <c r="AE38" s="35"/>
      <c r="AF38" s="36"/>
      <c r="AG38" s="89"/>
      <c r="AH38" s="32"/>
      <c r="AI38" s="33"/>
      <c r="AJ38" s="36"/>
      <c r="AK38" s="89"/>
      <c r="AL38" s="32"/>
      <c r="AM38" s="33"/>
      <c r="AN38" s="36"/>
      <c r="AO38" s="89"/>
      <c r="AP38" s="32"/>
      <c r="AQ38" s="33"/>
      <c r="AR38" s="36"/>
      <c r="AS38" s="89"/>
      <c r="AT38" s="37">
        <f t="shared" si="2"/>
        <v>155943</v>
      </c>
      <c r="AU38" s="38">
        <f t="shared" si="3"/>
        <v>135540</v>
      </c>
    </row>
    <row r="39" spans="2:47" s="26" customFormat="1" ht="22.5" x14ac:dyDescent="0.25">
      <c r="B39" s="27">
        <v>26</v>
      </c>
      <c r="C39" s="27" t="s">
        <v>514</v>
      </c>
      <c r="D39" s="50">
        <v>30123644</v>
      </c>
      <c r="E39" s="29" t="s">
        <v>1678</v>
      </c>
      <c r="F39" s="29" t="s">
        <v>54</v>
      </c>
      <c r="G39" s="30" t="s">
        <v>1645</v>
      </c>
      <c r="H39" s="42" t="s">
        <v>1650</v>
      </c>
      <c r="I39" s="88" t="s">
        <v>57</v>
      </c>
      <c r="J39" s="406">
        <v>2063678</v>
      </c>
      <c r="K39" s="31">
        <v>15266</v>
      </c>
      <c r="L39" s="31">
        <f t="shared" si="0"/>
        <v>2048412</v>
      </c>
      <c r="M39" s="31">
        <v>0</v>
      </c>
      <c r="N39" s="31">
        <v>0</v>
      </c>
      <c r="O39" s="31"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1"/>
        <v>0</v>
      </c>
      <c r="Z39" s="32">
        <v>4</v>
      </c>
      <c r="AA39" s="33">
        <v>6</v>
      </c>
      <c r="AB39" s="34">
        <v>44215</v>
      </c>
      <c r="AC39" s="90">
        <v>44228</v>
      </c>
      <c r="AD39" s="32"/>
      <c r="AE39" s="35"/>
      <c r="AF39" s="36"/>
      <c r="AG39" s="89"/>
      <c r="AH39" s="32"/>
      <c r="AI39" s="33"/>
      <c r="AJ39" s="36"/>
      <c r="AK39" s="89"/>
      <c r="AL39" s="32"/>
      <c r="AM39" s="33"/>
      <c r="AN39" s="36"/>
      <c r="AO39" s="89"/>
      <c r="AP39" s="32"/>
      <c r="AQ39" s="33"/>
      <c r="AR39" s="36"/>
      <c r="AS39" s="89"/>
      <c r="AT39" s="37">
        <f t="shared" si="2"/>
        <v>4</v>
      </c>
      <c r="AU39" s="38">
        <f t="shared" si="3"/>
        <v>4</v>
      </c>
    </row>
    <row r="40" spans="2:47" s="26" customFormat="1" ht="22.5" x14ac:dyDescent="0.25">
      <c r="B40" s="27">
        <v>27</v>
      </c>
      <c r="C40" s="27" t="s">
        <v>514</v>
      </c>
      <c r="D40" s="50">
        <v>30129766</v>
      </c>
      <c r="E40" s="29" t="s">
        <v>1679</v>
      </c>
      <c r="F40" s="29" t="s">
        <v>54</v>
      </c>
      <c r="G40" s="30" t="s">
        <v>1645</v>
      </c>
      <c r="H40" s="42" t="s">
        <v>1673</v>
      </c>
      <c r="I40" s="88" t="s">
        <v>57</v>
      </c>
      <c r="J40" s="406">
        <v>2870171</v>
      </c>
      <c r="K40" s="31">
        <v>22850</v>
      </c>
      <c r="L40" s="31">
        <f t="shared" si="0"/>
        <v>2847321</v>
      </c>
      <c r="M40" s="31">
        <v>0</v>
      </c>
      <c r="N40" s="31">
        <v>0</v>
      </c>
      <c r="O40" s="31"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1"/>
        <v>0</v>
      </c>
      <c r="Z40" s="32">
        <v>3</v>
      </c>
      <c r="AA40" s="33">
        <v>6</v>
      </c>
      <c r="AB40" s="34">
        <v>44215</v>
      </c>
      <c r="AC40" s="90">
        <v>44228</v>
      </c>
      <c r="AD40" s="32"/>
      <c r="AE40" s="35"/>
      <c r="AF40" s="36"/>
      <c r="AG40" s="89"/>
      <c r="AH40" s="32"/>
      <c r="AI40" s="33"/>
      <c r="AJ40" s="36"/>
      <c r="AK40" s="89"/>
      <c r="AL40" s="32"/>
      <c r="AM40" s="33"/>
      <c r="AN40" s="36"/>
      <c r="AO40" s="89"/>
      <c r="AP40" s="32"/>
      <c r="AQ40" s="33"/>
      <c r="AR40" s="36"/>
      <c r="AS40" s="89"/>
      <c r="AT40" s="37">
        <f t="shared" si="2"/>
        <v>3</v>
      </c>
      <c r="AU40" s="38">
        <f t="shared" si="3"/>
        <v>3</v>
      </c>
    </row>
    <row r="41" spans="2:47" s="26" customFormat="1" ht="22.5" x14ac:dyDescent="0.25">
      <c r="B41" s="27">
        <v>28</v>
      </c>
      <c r="C41" s="27" t="s">
        <v>514</v>
      </c>
      <c r="D41" s="50">
        <v>30135597</v>
      </c>
      <c r="E41" s="29" t="s">
        <v>1680</v>
      </c>
      <c r="F41" s="29" t="s">
        <v>54</v>
      </c>
      <c r="G41" s="30" t="s">
        <v>1645</v>
      </c>
      <c r="H41" s="42" t="s">
        <v>1681</v>
      </c>
      <c r="I41" s="88" t="s">
        <v>57</v>
      </c>
      <c r="J41" s="406">
        <v>2709493</v>
      </c>
      <c r="K41" s="31">
        <v>2633705</v>
      </c>
      <c r="L41" s="31">
        <f t="shared" si="0"/>
        <v>75788</v>
      </c>
      <c r="M41" s="31">
        <v>0</v>
      </c>
      <c r="N41" s="31">
        <v>0</v>
      </c>
      <c r="O41" s="31">
        <v>1011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1"/>
        <v>1011</v>
      </c>
      <c r="Z41" s="32">
        <v>61401</v>
      </c>
      <c r="AA41" s="33">
        <v>6</v>
      </c>
      <c r="AB41" s="34">
        <v>44215</v>
      </c>
      <c r="AC41" s="90">
        <v>44228</v>
      </c>
      <c r="AD41" s="32"/>
      <c r="AE41" s="35"/>
      <c r="AF41" s="36"/>
      <c r="AG41" s="89"/>
      <c r="AH41" s="32"/>
      <c r="AI41" s="33"/>
      <c r="AJ41" s="36"/>
      <c r="AK41" s="89"/>
      <c r="AL41" s="32"/>
      <c r="AM41" s="33"/>
      <c r="AN41" s="36"/>
      <c r="AO41" s="89"/>
      <c r="AP41" s="32"/>
      <c r="AQ41" s="33"/>
      <c r="AR41" s="36"/>
      <c r="AS41" s="89"/>
      <c r="AT41" s="37">
        <f t="shared" si="2"/>
        <v>61401</v>
      </c>
      <c r="AU41" s="38">
        <f t="shared" si="3"/>
        <v>60390</v>
      </c>
    </row>
    <row r="42" spans="2:47" s="26" customFormat="1" ht="22.5" x14ac:dyDescent="0.25">
      <c r="B42" s="27">
        <v>29</v>
      </c>
      <c r="C42" s="27" t="s">
        <v>514</v>
      </c>
      <c r="D42" s="50">
        <v>30136075</v>
      </c>
      <c r="E42" s="29" t="s">
        <v>1682</v>
      </c>
      <c r="F42" s="29" t="s">
        <v>60</v>
      </c>
      <c r="G42" s="30" t="s">
        <v>1645</v>
      </c>
      <c r="H42" s="42" t="s">
        <v>1654</v>
      </c>
      <c r="I42" s="88" t="s">
        <v>72</v>
      </c>
      <c r="J42" s="406">
        <v>101000</v>
      </c>
      <c r="K42" s="31">
        <v>0</v>
      </c>
      <c r="L42" s="31">
        <f t="shared" si="0"/>
        <v>101000</v>
      </c>
      <c r="M42" s="31">
        <v>0</v>
      </c>
      <c r="N42" s="31">
        <v>0</v>
      </c>
      <c r="O42" s="31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1"/>
        <v>0</v>
      </c>
      <c r="Z42" s="32">
        <v>51000</v>
      </c>
      <c r="AA42" s="33">
        <v>6</v>
      </c>
      <c r="AB42" s="34">
        <v>44215</v>
      </c>
      <c r="AC42" s="90">
        <v>44228</v>
      </c>
      <c r="AD42" s="32"/>
      <c r="AE42" s="35"/>
      <c r="AF42" s="36"/>
      <c r="AG42" s="89"/>
      <c r="AH42" s="32"/>
      <c r="AI42" s="33"/>
      <c r="AJ42" s="36"/>
      <c r="AK42" s="89"/>
      <c r="AL42" s="32"/>
      <c r="AM42" s="33"/>
      <c r="AN42" s="36"/>
      <c r="AO42" s="89"/>
      <c r="AP42" s="32"/>
      <c r="AQ42" s="33"/>
      <c r="AR42" s="36"/>
      <c r="AS42" s="89"/>
      <c r="AT42" s="37">
        <f t="shared" si="2"/>
        <v>51000</v>
      </c>
      <c r="AU42" s="38">
        <f t="shared" si="3"/>
        <v>51000</v>
      </c>
    </row>
    <row r="43" spans="2:47" s="26" customFormat="1" ht="22.5" x14ac:dyDescent="0.25">
      <c r="B43" s="27">
        <v>30</v>
      </c>
      <c r="C43" s="27" t="s">
        <v>514</v>
      </c>
      <c r="D43" s="50">
        <v>30136109</v>
      </c>
      <c r="E43" s="29" t="s">
        <v>1683</v>
      </c>
      <c r="F43" s="29" t="s">
        <v>60</v>
      </c>
      <c r="G43" s="30" t="s">
        <v>1645</v>
      </c>
      <c r="H43" s="42" t="s">
        <v>1665</v>
      </c>
      <c r="I43" s="88" t="s">
        <v>57</v>
      </c>
      <c r="J43" s="406">
        <v>106101</v>
      </c>
      <c r="K43" s="31">
        <v>53101</v>
      </c>
      <c r="L43" s="31">
        <f t="shared" si="0"/>
        <v>53000</v>
      </c>
      <c r="M43" s="31">
        <v>0</v>
      </c>
      <c r="N43" s="31">
        <v>0</v>
      </c>
      <c r="O43" s="31">
        <v>31800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1"/>
        <v>31800</v>
      </c>
      <c r="Z43" s="32">
        <v>53000</v>
      </c>
      <c r="AA43" s="33">
        <v>6</v>
      </c>
      <c r="AB43" s="34">
        <v>44215</v>
      </c>
      <c r="AC43" s="90">
        <v>44228</v>
      </c>
      <c r="AD43" s="32"/>
      <c r="AE43" s="35"/>
      <c r="AF43" s="36"/>
      <c r="AG43" s="89"/>
      <c r="AH43" s="32"/>
      <c r="AI43" s="33"/>
      <c r="AJ43" s="36"/>
      <c r="AK43" s="89"/>
      <c r="AL43" s="32"/>
      <c r="AM43" s="33"/>
      <c r="AN43" s="36"/>
      <c r="AO43" s="89"/>
      <c r="AP43" s="32"/>
      <c r="AQ43" s="33"/>
      <c r="AR43" s="36"/>
      <c r="AS43" s="89"/>
      <c r="AT43" s="37">
        <f t="shared" si="2"/>
        <v>53000</v>
      </c>
      <c r="AU43" s="38">
        <f t="shared" si="3"/>
        <v>21200</v>
      </c>
    </row>
    <row r="44" spans="2:47" s="26" customFormat="1" ht="22.5" x14ac:dyDescent="0.25">
      <c r="B44" s="27">
        <v>31</v>
      </c>
      <c r="C44" s="27" t="s">
        <v>514</v>
      </c>
      <c r="D44" s="50">
        <v>30136734</v>
      </c>
      <c r="E44" s="29" t="s">
        <v>1684</v>
      </c>
      <c r="F44" s="29" t="s">
        <v>54</v>
      </c>
      <c r="G44" s="30" t="s">
        <v>1645</v>
      </c>
      <c r="H44" s="42" t="s">
        <v>1685</v>
      </c>
      <c r="I44" s="88" t="s">
        <v>57</v>
      </c>
      <c r="J44" s="406">
        <v>309993</v>
      </c>
      <c r="K44" s="31">
        <v>264003</v>
      </c>
      <c r="L44" s="31">
        <f t="shared" si="0"/>
        <v>45990</v>
      </c>
      <c r="M44" s="31">
        <v>0</v>
      </c>
      <c r="N44" s="31">
        <v>0</v>
      </c>
      <c r="O44" s="31"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1"/>
        <v>0</v>
      </c>
      <c r="Z44" s="32">
        <v>45990</v>
      </c>
      <c r="AA44" s="33">
        <v>6</v>
      </c>
      <c r="AB44" s="34">
        <v>44215</v>
      </c>
      <c r="AC44" s="90">
        <v>44228</v>
      </c>
      <c r="AD44" s="32"/>
      <c r="AE44" s="35"/>
      <c r="AF44" s="36"/>
      <c r="AG44" s="89"/>
      <c r="AH44" s="32"/>
      <c r="AI44" s="33"/>
      <c r="AJ44" s="36"/>
      <c r="AK44" s="89"/>
      <c r="AL44" s="32"/>
      <c r="AM44" s="33"/>
      <c r="AN44" s="36"/>
      <c r="AO44" s="89"/>
      <c r="AP44" s="32"/>
      <c r="AQ44" s="33"/>
      <c r="AR44" s="36"/>
      <c r="AS44" s="89"/>
      <c r="AT44" s="37">
        <f t="shared" si="2"/>
        <v>45990</v>
      </c>
      <c r="AU44" s="38">
        <f t="shared" si="3"/>
        <v>45990</v>
      </c>
    </row>
    <row r="45" spans="2:47" s="26" customFormat="1" ht="22.5" x14ac:dyDescent="0.25">
      <c r="B45" s="27">
        <v>32</v>
      </c>
      <c r="C45" s="27" t="s">
        <v>514</v>
      </c>
      <c r="D45" s="50">
        <v>30243873</v>
      </c>
      <c r="E45" s="29" t="s">
        <v>1686</v>
      </c>
      <c r="F45" s="29" t="s">
        <v>60</v>
      </c>
      <c r="G45" s="30" t="s">
        <v>1645</v>
      </c>
      <c r="H45" s="42" t="s">
        <v>1665</v>
      </c>
      <c r="I45" s="88" t="s">
        <v>72</v>
      </c>
      <c r="J45" s="406">
        <v>331802</v>
      </c>
      <c r="K45" s="31">
        <v>0</v>
      </c>
      <c r="L45" s="31">
        <f t="shared" si="0"/>
        <v>331802</v>
      </c>
      <c r="M45" s="31">
        <v>0</v>
      </c>
      <c r="N45" s="31">
        <v>0</v>
      </c>
      <c r="O45" s="31">
        <v>0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1"/>
        <v>0</v>
      </c>
      <c r="Z45" s="32">
        <v>2</v>
      </c>
      <c r="AA45" s="33">
        <v>6</v>
      </c>
      <c r="AB45" s="34">
        <v>44215</v>
      </c>
      <c r="AC45" s="90">
        <v>44228</v>
      </c>
      <c r="AD45" s="32"/>
      <c r="AE45" s="35"/>
      <c r="AF45" s="36"/>
      <c r="AG45" s="89"/>
      <c r="AH45" s="32"/>
      <c r="AI45" s="33"/>
      <c r="AJ45" s="36"/>
      <c r="AK45" s="89"/>
      <c r="AL45" s="32"/>
      <c r="AM45" s="33"/>
      <c r="AN45" s="36"/>
      <c r="AO45" s="89"/>
      <c r="AP45" s="32"/>
      <c r="AQ45" s="33"/>
      <c r="AR45" s="36"/>
      <c r="AS45" s="89"/>
      <c r="AT45" s="37">
        <f t="shared" si="2"/>
        <v>2</v>
      </c>
      <c r="AU45" s="38">
        <f t="shared" si="3"/>
        <v>2</v>
      </c>
    </row>
    <row r="46" spans="2:47" s="26" customFormat="1" ht="22.5" x14ac:dyDescent="0.25">
      <c r="B46" s="27">
        <v>33</v>
      </c>
      <c r="C46" s="27" t="s">
        <v>514</v>
      </c>
      <c r="D46" s="50">
        <v>30343880</v>
      </c>
      <c r="E46" s="29" t="s">
        <v>1687</v>
      </c>
      <c r="F46" s="29" t="s">
        <v>60</v>
      </c>
      <c r="G46" s="30" t="s">
        <v>1645</v>
      </c>
      <c r="H46" s="42" t="s">
        <v>1648</v>
      </c>
      <c r="I46" s="88" t="s">
        <v>57</v>
      </c>
      <c r="J46" s="406">
        <v>232495</v>
      </c>
      <c r="K46" s="31">
        <v>187815</v>
      </c>
      <c r="L46" s="31">
        <f t="shared" si="0"/>
        <v>44680</v>
      </c>
      <c r="M46" s="31">
        <v>0</v>
      </c>
      <c r="N46" s="31">
        <v>0</v>
      </c>
      <c r="O46" s="31"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ref="Y46:Y76" si="4">SUM(M46:X46)</f>
        <v>0</v>
      </c>
      <c r="Z46" s="32">
        <v>44680</v>
      </c>
      <c r="AA46" s="33">
        <v>6</v>
      </c>
      <c r="AB46" s="34">
        <v>44215</v>
      </c>
      <c r="AC46" s="90">
        <v>44228</v>
      </c>
      <c r="AD46" s="32"/>
      <c r="AE46" s="35"/>
      <c r="AF46" s="36"/>
      <c r="AG46" s="89"/>
      <c r="AH46" s="32"/>
      <c r="AI46" s="33"/>
      <c r="AJ46" s="36"/>
      <c r="AK46" s="89"/>
      <c r="AL46" s="32"/>
      <c r="AM46" s="33"/>
      <c r="AN46" s="36"/>
      <c r="AO46" s="89"/>
      <c r="AP46" s="32"/>
      <c r="AQ46" s="33"/>
      <c r="AR46" s="36"/>
      <c r="AS46" s="89"/>
      <c r="AT46" s="37">
        <f t="shared" si="2"/>
        <v>44680</v>
      </c>
      <c r="AU46" s="38">
        <f t="shared" si="3"/>
        <v>44680</v>
      </c>
    </row>
    <row r="47" spans="2:47" s="26" customFormat="1" ht="22.5" x14ac:dyDescent="0.25">
      <c r="B47" s="27">
        <v>34</v>
      </c>
      <c r="C47" s="27" t="s">
        <v>514</v>
      </c>
      <c r="D47" s="50">
        <v>30343923</v>
      </c>
      <c r="E47" s="29" t="s">
        <v>1688</v>
      </c>
      <c r="F47" s="29" t="s">
        <v>60</v>
      </c>
      <c r="G47" s="30" t="s">
        <v>1645</v>
      </c>
      <c r="H47" s="42" t="s">
        <v>1648</v>
      </c>
      <c r="I47" s="88" t="s">
        <v>57</v>
      </c>
      <c r="J47" s="406">
        <v>232495</v>
      </c>
      <c r="K47" s="31">
        <v>187815</v>
      </c>
      <c r="L47" s="31">
        <f t="shared" si="0"/>
        <v>44680</v>
      </c>
      <c r="M47" s="31">
        <v>0</v>
      </c>
      <c r="N47" s="31">
        <v>0</v>
      </c>
      <c r="O47" s="31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4"/>
        <v>0</v>
      </c>
      <c r="Z47" s="32">
        <v>44680</v>
      </c>
      <c r="AA47" s="33">
        <v>6</v>
      </c>
      <c r="AB47" s="34">
        <v>44215</v>
      </c>
      <c r="AC47" s="90">
        <v>44228</v>
      </c>
      <c r="AD47" s="32"/>
      <c r="AE47" s="35"/>
      <c r="AF47" s="36"/>
      <c r="AG47" s="89"/>
      <c r="AH47" s="32"/>
      <c r="AI47" s="33"/>
      <c r="AJ47" s="36"/>
      <c r="AK47" s="89"/>
      <c r="AL47" s="32"/>
      <c r="AM47" s="33"/>
      <c r="AN47" s="36"/>
      <c r="AO47" s="89"/>
      <c r="AP47" s="32"/>
      <c r="AQ47" s="33"/>
      <c r="AR47" s="36"/>
      <c r="AS47" s="89"/>
      <c r="AT47" s="37">
        <f t="shared" si="2"/>
        <v>44680</v>
      </c>
      <c r="AU47" s="38">
        <f t="shared" si="3"/>
        <v>44680</v>
      </c>
    </row>
    <row r="48" spans="2:47" s="26" customFormat="1" ht="22.5" x14ac:dyDescent="0.25">
      <c r="B48" s="27">
        <v>35</v>
      </c>
      <c r="C48" s="27" t="s">
        <v>514</v>
      </c>
      <c r="D48" s="50">
        <v>30351000</v>
      </c>
      <c r="E48" s="29" t="s">
        <v>1689</v>
      </c>
      <c r="F48" s="29" t="s">
        <v>54</v>
      </c>
      <c r="G48" s="30" t="s">
        <v>1645</v>
      </c>
      <c r="H48" s="42" t="s">
        <v>1654</v>
      </c>
      <c r="I48" s="88" t="s">
        <v>72</v>
      </c>
      <c r="J48" s="406">
        <v>1146642</v>
      </c>
      <c r="K48" s="31">
        <v>0</v>
      </c>
      <c r="L48" s="31">
        <f t="shared" si="0"/>
        <v>1146642</v>
      </c>
      <c r="M48" s="31">
        <v>0</v>
      </c>
      <c r="N48" s="31">
        <v>0</v>
      </c>
      <c r="O48" s="31">
        <v>131895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si="4"/>
        <v>131895</v>
      </c>
      <c r="Z48" s="32">
        <v>719886</v>
      </c>
      <c r="AA48" s="33">
        <v>6</v>
      </c>
      <c r="AB48" s="34">
        <v>44215</v>
      </c>
      <c r="AC48" s="90">
        <v>44228</v>
      </c>
      <c r="AD48" s="32"/>
      <c r="AE48" s="35"/>
      <c r="AF48" s="36"/>
      <c r="AG48" s="89"/>
      <c r="AH48" s="32"/>
      <c r="AI48" s="33"/>
      <c r="AJ48" s="36"/>
      <c r="AK48" s="89"/>
      <c r="AL48" s="32"/>
      <c r="AM48" s="33"/>
      <c r="AN48" s="36"/>
      <c r="AO48" s="89"/>
      <c r="AP48" s="32"/>
      <c r="AQ48" s="33"/>
      <c r="AR48" s="36"/>
      <c r="AS48" s="89"/>
      <c r="AT48" s="37">
        <f t="shared" si="2"/>
        <v>719886</v>
      </c>
      <c r="AU48" s="38">
        <f t="shared" si="3"/>
        <v>587991</v>
      </c>
    </row>
    <row r="49" spans="2:47" s="26" customFormat="1" ht="22.5" x14ac:dyDescent="0.25">
      <c r="B49" s="27">
        <v>36</v>
      </c>
      <c r="C49" s="27" t="s">
        <v>514</v>
      </c>
      <c r="D49" s="50">
        <v>30355022</v>
      </c>
      <c r="E49" s="29" t="s">
        <v>1690</v>
      </c>
      <c r="F49" s="29" t="s">
        <v>54</v>
      </c>
      <c r="G49" s="30" t="s">
        <v>1645</v>
      </c>
      <c r="H49" s="42" t="s">
        <v>1691</v>
      </c>
      <c r="I49" s="88" t="s">
        <v>57</v>
      </c>
      <c r="J49" s="406">
        <v>195849</v>
      </c>
      <c r="K49" s="31">
        <v>176339</v>
      </c>
      <c r="L49" s="31">
        <f t="shared" si="0"/>
        <v>19510</v>
      </c>
      <c r="M49" s="31">
        <v>0</v>
      </c>
      <c r="N49" s="31">
        <v>0</v>
      </c>
      <c r="O49" s="31">
        <v>0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4"/>
        <v>0</v>
      </c>
      <c r="Z49" s="32">
        <v>19511</v>
      </c>
      <c r="AA49" s="33">
        <v>6</v>
      </c>
      <c r="AB49" s="34">
        <v>44215</v>
      </c>
      <c r="AC49" s="90">
        <v>44228</v>
      </c>
      <c r="AD49" s="32"/>
      <c r="AE49" s="35"/>
      <c r="AF49" s="36"/>
      <c r="AG49" s="89"/>
      <c r="AH49" s="32"/>
      <c r="AI49" s="33"/>
      <c r="AJ49" s="36"/>
      <c r="AK49" s="89"/>
      <c r="AL49" s="32"/>
      <c r="AM49" s="33"/>
      <c r="AN49" s="36"/>
      <c r="AO49" s="89"/>
      <c r="AP49" s="32"/>
      <c r="AQ49" s="33"/>
      <c r="AR49" s="36"/>
      <c r="AS49" s="89"/>
      <c r="AT49" s="37">
        <f t="shared" si="2"/>
        <v>19511</v>
      </c>
      <c r="AU49" s="38">
        <f t="shared" si="3"/>
        <v>19511</v>
      </c>
    </row>
    <row r="50" spans="2:47" s="26" customFormat="1" ht="22.5" x14ac:dyDescent="0.25">
      <c r="B50" s="27">
        <v>37</v>
      </c>
      <c r="C50" s="27" t="s">
        <v>514</v>
      </c>
      <c r="D50" s="50">
        <v>30357686</v>
      </c>
      <c r="E50" s="29" t="s">
        <v>1692</v>
      </c>
      <c r="F50" s="29" t="s">
        <v>54</v>
      </c>
      <c r="G50" s="30" t="s">
        <v>1645</v>
      </c>
      <c r="H50" s="42" t="s">
        <v>1693</v>
      </c>
      <c r="I50" s="88" t="s">
        <v>57</v>
      </c>
      <c r="J50" s="406">
        <v>490315</v>
      </c>
      <c r="K50" s="31">
        <v>204439</v>
      </c>
      <c r="L50" s="31">
        <f t="shared" si="0"/>
        <v>285876</v>
      </c>
      <c r="M50" s="31">
        <v>0</v>
      </c>
      <c r="N50" s="31">
        <v>0</v>
      </c>
      <c r="O50" s="31">
        <v>0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4"/>
        <v>0</v>
      </c>
      <c r="Z50" s="32">
        <v>285877</v>
      </c>
      <c r="AA50" s="33">
        <v>6</v>
      </c>
      <c r="AB50" s="34">
        <v>44215</v>
      </c>
      <c r="AC50" s="90">
        <v>44228</v>
      </c>
      <c r="AD50" s="32"/>
      <c r="AE50" s="35"/>
      <c r="AF50" s="36"/>
      <c r="AG50" s="89"/>
      <c r="AH50" s="32"/>
      <c r="AI50" s="33"/>
      <c r="AJ50" s="36"/>
      <c r="AK50" s="89"/>
      <c r="AL50" s="32"/>
      <c r="AM50" s="33"/>
      <c r="AN50" s="36"/>
      <c r="AO50" s="89"/>
      <c r="AP50" s="32"/>
      <c r="AQ50" s="33"/>
      <c r="AR50" s="36"/>
      <c r="AS50" s="89"/>
      <c r="AT50" s="37">
        <f t="shared" si="2"/>
        <v>285877</v>
      </c>
      <c r="AU50" s="38">
        <f t="shared" si="3"/>
        <v>285877</v>
      </c>
    </row>
    <row r="51" spans="2:47" s="26" customFormat="1" ht="22.5" x14ac:dyDescent="0.25">
      <c r="B51" s="27">
        <v>38</v>
      </c>
      <c r="C51" s="27" t="s">
        <v>514</v>
      </c>
      <c r="D51" s="50">
        <v>30361823</v>
      </c>
      <c r="E51" s="29" t="s">
        <v>1694</v>
      </c>
      <c r="F51" s="29" t="s">
        <v>54</v>
      </c>
      <c r="G51" s="30" t="s">
        <v>1645</v>
      </c>
      <c r="H51" s="42" t="s">
        <v>1648</v>
      </c>
      <c r="I51" s="88" t="s">
        <v>72</v>
      </c>
      <c r="J51" s="406">
        <v>288226</v>
      </c>
      <c r="K51" s="31">
        <v>0</v>
      </c>
      <c r="L51" s="31">
        <f t="shared" si="0"/>
        <v>288226</v>
      </c>
      <c r="M51" s="31">
        <v>0</v>
      </c>
      <c r="N51" s="31">
        <v>0</v>
      </c>
      <c r="O51" s="31">
        <v>0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4"/>
        <v>0</v>
      </c>
      <c r="Z51" s="32">
        <v>288226</v>
      </c>
      <c r="AA51" s="33">
        <v>6</v>
      </c>
      <c r="AB51" s="34">
        <v>44215</v>
      </c>
      <c r="AC51" s="90">
        <v>44228</v>
      </c>
      <c r="AD51" s="32"/>
      <c r="AE51" s="35"/>
      <c r="AF51" s="36"/>
      <c r="AG51" s="89"/>
      <c r="AH51" s="32"/>
      <c r="AI51" s="33"/>
      <c r="AJ51" s="36"/>
      <c r="AK51" s="89"/>
      <c r="AL51" s="32"/>
      <c r="AM51" s="33"/>
      <c r="AN51" s="36"/>
      <c r="AO51" s="89"/>
      <c r="AP51" s="32"/>
      <c r="AQ51" s="33"/>
      <c r="AR51" s="36"/>
      <c r="AS51" s="89"/>
      <c r="AT51" s="37">
        <f t="shared" si="2"/>
        <v>288226</v>
      </c>
      <c r="AU51" s="38">
        <f t="shared" si="3"/>
        <v>288226</v>
      </c>
    </row>
    <row r="52" spans="2:47" s="26" customFormat="1" ht="22.5" x14ac:dyDescent="0.25">
      <c r="B52" s="27">
        <v>39</v>
      </c>
      <c r="C52" s="27" t="s">
        <v>514</v>
      </c>
      <c r="D52" s="50">
        <v>30366878</v>
      </c>
      <c r="E52" s="29" t="s">
        <v>1695</v>
      </c>
      <c r="F52" s="29" t="s">
        <v>54</v>
      </c>
      <c r="G52" s="30" t="s">
        <v>1645</v>
      </c>
      <c r="H52" s="42" t="s">
        <v>1648</v>
      </c>
      <c r="I52" s="88" t="s">
        <v>72</v>
      </c>
      <c r="J52" s="406">
        <v>18212523</v>
      </c>
      <c r="K52" s="31">
        <v>0</v>
      </c>
      <c r="L52" s="31">
        <f t="shared" si="0"/>
        <v>18212523</v>
      </c>
      <c r="M52" s="31">
        <v>0</v>
      </c>
      <c r="N52" s="31">
        <v>0</v>
      </c>
      <c r="O52" s="31">
        <v>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4"/>
        <v>0</v>
      </c>
      <c r="Z52" s="32">
        <v>499999</v>
      </c>
      <c r="AA52" s="33">
        <v>6</v>
      </c>
      <c r="AB52" s="34">
        <v>44215</v>
      </c>
      <c r="AC52" s="90">
        <v>44228</v>
      </c>
      <c r="AD52" s="32"/>
      <c r="AE52" s="35"/>
      <c r="AF52" s="36"/>
      <c r="AG52" s="89"/>
      <c r="AH52" s="32"/>
      <c r="AI52" s="33"/>
      <c r="AJ52" s="36"/>
      <c r="AK52" s="89"/>
      <c r="AL52" s="32"/>
      <c r="AM52" s="33"/>
      <c r="AN52" s="36"/>
      <c r="AO52" s="89"/>
      <c r="AP52" s="32"/>
      <c r="AQ52" s="33"/>
      <c r="AR52" s="36"/>
      <c r="AS52" s="89"/>
      <c r="AT52" s="37">
        <f t="shared" si="2"/>
        <v>499999</v>
      </c>
      <c r="AU52" s="38">
        <f t="shared" si="3"/>
        <v>499999</v>
      </c>
    </row>
    <row r="53" spans="2:47" s="26" customFormat="1" ht="22.5" x14ac:dyDescent="0.25">
      <c r="B53" s="27">
        <v>40</v>
      </c>
      <c r="C53" s="27" t="s">
        <v>514</v>
      </c>
      <c r="D53" s="50">
        <v>30371622</v>
      </c>
      <c r="E53" s="29" t="s">
        <v>1696</v>
      </c>
      <c r="F53" s="29" t="s">
        <v>54</v>
      </c>
      <c r="G53" s="30" t="s">
        <v>1645</v>
      </c>
      <c r="H53" s="42" t="s">
        <v>1697</v>
      </c>
      <c r="I53" s="88" t="s">
        <v>57</v>
      </c>
      <c r="J53" s="406">
        <v>4955848</v>
      </c>
      <c r="K53" s="31">
        <v>0</v>
      </c>
      <c r="L53" s="31">
        <f t="shared" si="0"/>
        <v>4955848</v>
      </c>
      <c r="M53" s="31">
        <v>0</v>
      </c>
      <c r="N53" s="31">
        <v>0</v>
      </c>
      <c r="O53" s="31">
        <v>271165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4"/>
        <v>271165</v>
      </c>
      <c r="Z53" s="32">
        <v>1615769</v>
      </c>
      <c r="AA53" s="33">
        <v>6</v>
      </c>
      <c r="AB53" s="34">
        <v>44215</v>
      </c>
      <c r="AC53" s="90">
        <v>44228</v>
      </c>
      <c r="AD53" s="32"/>
      <c r="AE53" s="35"/>
      <c r="AF53" s="36"/>
      <c r="AG53" s="89"/>
      <c r="AH53" s="32"/>
      <c r="AI53" s="33"/>
      <c r="AJ53" s="36"/>
      <c r="AK53" s="89"/>
      <c r="AL53" s="32"/>
      <c r="AM53" s="33"/>
      <c r="AN53" s="36"/>
      <c r="AO53" s="89"/>
      <c r="AP53" s="32"/>
      <c r="AQ53" s="33"/>
      <c r="AR53" s="36"/>
      <c r="AS53" s="89"/>
      <c r="AT53" s="37">
        <f t="shared" si="2"/>
        <v>1615769</v>
      </c>
      <c r="AU53" s="38">
        <f t="shared" si="3"/>
        <v>1344604</v>
      </c>
    </row>
    <row r="54" spans="2:47" s="26" customFormat="1" ht="22.5" x14ac:dyDescent="0.25">
      <c r="B54" s="27">
        <v>41</v>
      </c>
      <c r="C54" s="27" t="s">
        <v>514</v>
      </c>
      <c r="D54" s="50">
        <v>30372626</v>
      </c>
      <c r="E54" s="29" t="s">
        <v>1698</v>
      </c>
      <c r="F54" s="29" t="s">
        <v>54</v>
      </c>
      <c r="G54" s="30" t="s">
        <v>1645</v>
      </c>
      <c r="H54" s="42" t="s">
        <v>1699</v>
      </c>
      <c r="I54" s="88" t="s">
        <v>72</v>
      </c>
      <c r="J54" s="406">
        <v>466270</v>
      </c>
      <c r="K54" s="31">
        <v>0</v>
      </c>
      <c r="L54" s="31">
        <f t="shared" si="0"/>
        <v>466270</v>
      </c>
      <c r="M54" s="31">
        <v>0</v>
      </c>
      <c r="N54" s="31">
        <v>0</v>
      </c>
      <c r="O54" s="31"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4"/>
        <v>0</v>
      </c>
      <c r="Z54" s="32">
        <v>366336</v>
      </c>
      <c r="AA54" s="33">
        <v>6</v>
      </c>
      <c r="AB54" s="34">
        <v>44215</v>
      </c>
      <c r="AC54" s="90">
        <v>44228</v>
      </c>
      <c r="AD54" s="32"/>
      <c r="AE54" s="35"/>
      <c r="AF54" s="36"/>
      <c r="AG54" s="89"/>
      <c r="AH54" s="32"/>
      <c r="AI54" s="33"/>
      <c r="AJ54" s="36"/>
      <c r="AK54" s="89"/>
      <c r="AL54" s="32"/>
      <c r="AM54" s="33"/>
      <c r="AN54" s="36"/>
      <c r="AO54" s="89"/>
      <c r="AP54" s="32"/>
      <c r="AQ54" s="33"/>
      <c r="AR54" s="36"/>
      <c r="AS54" s="89"/>
      <c r="AT54" s="37">
        <f t="shared" si="2"/>
        <v>366336</v>
      </c>
      <c r="AU54" s="38">
        <f t="shared" si="3"/>
        <v>366336</v>
      </c>
    </row>
    <row r="55" spans="2:47" s="26" customFormat="1" ht="22.5" x14ac:dyDescent="0.25">
      <c r="B55" s="27">
        <v>42</v>
      </c>
      <c r="C55" s="27" t="s">
        <v>514</v>
      </c>
      <c r="D55" s="50">
        <v>30387426</v>
      </c>
      <c r="E55" s="29" t="s">
        <v>1700</v>
      </c>
      <c r="F55" s="29" t="s">
        <v>54</v>
      </c>
      <c r="G55" s="30" t="s">
        <v>1645</v>
      </c>
      <c r="H55" s="42" t="s">
        <v>1650</v>
      </c>
      <c r="I55" s="88" t="s">
        <v>57</v>
      </c>
      <c r="J55" s="406">
        <v>359621</v>
      </c>
      <c r="K55" s="31">
        <v>349993</v>
      </c>
      <c r="L55" s="31">
        <f t="shared" si="0"/>
        <v>9628</v>
      </c>
      <c r="M55" s="31">
        <v>0</v>
      </c>
      <c r="N55" s="31">
        <v>148</v>
      </c>
      <c r="O55" s="31">
        <v>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4"/>
        <v>148</v>
      </c>
      <c r="Z55" s="32">
        <v>9629</v>
      </c>
      <c r="AA55" s="33">
        <v>6</v>
      </c>
      <c r="AB55" s="34">
        <v>44215</v>
      </c>
      <c r="AC55" s="90">
        <v>44228</v>
      </c>
      <c r="AD55" s="32"/>
      <c r="AE55" s="35"/>
      <c r="AF55" s="36"/>
      <c r="AG55" s="89"/>
      <c r="AH55" s="32"/>
      <c r="AI55" s="33"/>
      <c r="AJ55" s="36"/>
      <c r="AK55" s="89"/>
      <c r="AL55" s="32"/>
      <c r="AM55" s="33"/>
      <c r="AN55" s="36"/>
      <c r="AO55" s="89"/>
      <c r="AP55" s="32"/>
      <c r="AQ55" s="33"/>
      <c r="AR55" s="36"/>
      <c r="AS55" s="89"/>
      <c r="AT55" s="37">
        <f t="shared" si="2"/>
        <v>9629</v>
      </c>
      <c r="AU55" s="38">
        <f t="shared" si="3"/>
        <v>9481</v>
      </c>
    </row>
    <row r="56" spans="2:47" s="26" customFormat="1" ht="22.5" x14ac:dyDescent="0.25">
      <c r="B56" s="27">
        <v>43</v>
      </c>
      <c r="C56" s="27" t="s">
        <v>514</v>
      </c>
      <c r="D56" s="50">
        <v>30389273</v>
      </c>
      <c r="E56" s="29" t="s">
        <v>1701</v>
      </c>
      <c r="F56" s="29" t="s">
        <v>54</v>
      </c>
      <c r="G56" s="30" t="s">
        <v>1645</v>
      </c>
      <c r="H56" s="42" t="s">
        <v>1702</v>
      </c>
      <c r="I56" s="88" t="s">
        <v>72</v>
      </c>
      <c r="J56" s="406">
        <v>366697</v>
      </c>
      <c r="K56" s="31">
        <v>500</v>
      </c>
      <c r="L56" s="31">
        <f t="shared" si="0"/>
        <v>366197</v>
      </c>
      <c r="M56" s="31">
        <v>0</v>
      </c>
      <c r="N56" s="31">
        <v>0</v>
      </c>
      <c r="O56" s="31"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4"/>
        <v>0</v>
      </c>
      <c r="Z56" s="32">
        <v>216197</v>
      </c>
      <c r="AA56" s="33">
        <v>6</v>
      </c>
      <c r="AB56" s="34">
        <v>44215</v>
      </c>
      <c r="AC56" s="90">
        <v>44228</v>
      </c>
      <c r="AD56" s="32"/>
      <c r="AE56" s="35"/>
      <c r="AF56" s="36"/>
      <c r="AG56" s="89"/>
      <c r="AH56" s="32"/>
      <c r="AI56" s="33"/>
      <c r="AJ56" s="36"/>
      <c r="AK56" s="89"/>
      <c r="AL56" s="32"/>
      <c r="AM56" s="33"/>
      <c r="AN56" s="36"/>
      <c r="AO56" s="89"/>
      <c r="AP56" s="32"/>
      <c r="AQ56" s="33"/>
      <c r="AR56" s="36"/>
      <c r="AS56" s="89"/>
      <c r="AT56" s="37">
        <f t="shared" si="2"/>
        <v>216197</v>
      </c>
      <c r="AU56" s="38">
        <f t="shared" si="3"/>
        <v>216197</v>
      </c>
    </row>
    <row r="57" spans="2:47" s="26" customFormat="1" ht="22.5" x14ac:dyDescent="0.25">
      <c r="B57" s="27">
        <v>44</v>
      </c>
      <c r="C57" s="27" t="s">
        <v>514</v>
      </c>
      <c r="D57" s="50">
        <v>30389325</v>
      </c>
      <c r="E57" s="29" t="s">
        <v>1703</v>
      </c>
      <c r="F57" s="29" t="s">
        <v>54</v>
      </c>
      <c r="G57" s="30" t="s">
        <v>1645</v>
      </c>
      <c r="H57" s="42" t="s">
        <v>1702</v>
      </c>
      <c r="I57" s="88" t="s">
        <v>57</v>
      </c>
      <c r="J57" s="406">
        <v>421042</v>
      </c>
      <c r="K57" s="31">
        <v>420964</v>
      </c>
      <c r="L57" s="31">
        <f t="shared" si="0"/>
        <v>78</v>
      </c>
      <c r="M57" s="31">
        <v>0</v>
      </c>
      <c r="N57" s="31">
        <v>0</v>
      </c>
      <c r="O57" s="31">
        <v>0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4"/>
        <v>0</v>
      </c>
      <c r="Z57" s="32">
        <v>5975</v>
      </c>
      <c r="AA57" s="33">
        <v>6</v>
      </c>
      <c r="AB57" s="34">
        <v>44215</v>
      </c>
      <c r="AC57" s="90">
        <v>44228</v>
      </c>
      <c r="AD57" s="32"/>
      <c r="AE57" s="35"/>
      <c r="AF57" s="36"/>
      <c r="AG57" s="89"/>
      <c r="AH57" s="32"/>
      <c r="AI57" s="33"/>
      <c r="AJ57" s="36"/>
      <c r="AK57" s="89"/>
      <c r="AL57" s="32"/>
      <c r="AM57" s="33"/>
      <c r="AN57" s="36"/>
      <c r="AO57" s="89"/>
      <c r="AP57" s="32"/>
      <c r="AQ57" s="33"/>
      <c r="AR57" s="36"/>
      <c r="AS57" s="89"/>
      <c r="AT57" s="37">
        <f t="shared" si="2"/>
        <v>5975</v>
      </c>
      <c r="AU57" s="38">
        <f t="shared" si="3"/>
        <v>5975</v>
      </c>
    </row>
    <row r="58" spans="2:47" s="26" customFormat="1" ht="22.5" x14ac:dyDescent="0.25">
      <c r="B58" s="27">
        <v>45</v>
      </c>
      <c r="C58" s="27" t="s">
        <v>514</v>
      </c>
      <c r="D58" s="50">
        <v>30390722</v>
      </c>
      <c r="E58" s="29" t="s">
        <v>1704</v>
      </c>
      <c r="F58" s="29" t="s">
        <v>60</v>
      </c>
      <c r="G58" s="30" t="s">
        <v>1645</v>
      </c>
      <c r="H58" s="42" t="s">
        <v>1705</v>
      </c>
      <c r="I58" s="88" t="s">
        <v>72</v>
      </c>
      <c r="J58" s="406">
        <v>194840</v>
      </c>
      <c r="K58" s="31">
        <v>210</v>
      </c>
      <c r="L58" s="31">
        <f t="shared" si="0"/>
        <v>194630</v>
      </c>
      <c r="M58" s="31">
        <v>0</v>
      </c>
      <c r="N58" s="31">
        <v>0</v>
      </c>
      <c r="O58" s="31">
        <v>0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4"/>
        <v>0</v>
      </c>
      <c r="Z58" s="32">
        <v>175130</v>
      </c>
      <c r="AA58" s="33">
        <v>6</v>
      </c>
      <c r="AB58" s="34">
        <v>44215</v>
      </c>
      <c r="AC58" s="90">
        <v>44228</v>
      </c>
      <c r="AD58" s="32"/>
      <c r="AE58" s="35"/>
      <c r="AF58" s="36"/>
      <c r="AG58" s="89"/>
      <c r="AH58" s="32"/>
      <c r="AI58" s="33"/>
      <c r="AJ58" s="36"/>
      <c r="AK58" s="89"/>
      <c r="AL58" s="32"/>
      <c r="AM58" s="33"/>
      <c r="AN58" s="36"/>
      <c r="AO58" s="89"/>
      <c r="AP58" s="32"/>
      <c r="AQ58" s="33"/>
      <c r="AR58" s="36"/>
      <c r="AS58" s="89"/>
      <c r="AT58" s="37">
        <f t="shared" si="2"/>
        <v>175130</v>
      </c>
      <c r="AU58" s="38">
        <f t="shared" si="3"/>
        <v>175130</v>
      </c>
    </row>
    <row r="59" spans="2:47" s="26" customFormat="1" ht="22.5" x14ac:dyDescent="0.25">
      <c r="B59" s="27">
        <v>46</v>
      </c>
      <c r="C59" s="27" t="s">
        <v>514</v>
      </c>
      <c r="D59" s="50">
        <v>30449527</v>
      </c>
      <c r="E59" s="29" t="s">
        <v>1706</v>
      </c>
      <c r="F59" s="29" t="s">
        <v>60</v>
      </c>
      <c r="G59" s="30" t="s">
        <v>1645</v>
      </c>
      <c r="H59" s="42" t="s">
        <v>1665</v>
      </c>
      <c r="I59" s="88" t="s">
        <v>57</v>
      </c>
      <c r="J59" s="406">
        <v>167952</v>
      </c>
      <c r="K59" s="31">
        <v>101607</v>
      </c>
      <c r="L59" s="31">
        <f t="shared" si="0"/>
        <v>66345</v>
      </c>
      <c r="M59" s="31">
        <v>0</v>
      </c>
      <c r="N59" s="31">
        <v>0</v>
      </c>
      <c r="O59" s="31">
        <v>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4"/>
        <v>0</v>
      </c>
      <c r="Z59" s="32">
        <v>66346</v>
      </c>
      <c r="AA59" s="33">
        <v>6</v>
      </c>
      <c r="AB59" s="34">
        <v>44215</v>
      </c>
      <c r="AC59" s="90">
        <v>44228</v>
      </c>
      <c r="AD59" s="32"/>
      <c r="AE59" s="35"/>
      <c r="AF59" s="36"/>
      <c r="AG59" s="89"/>
      <c r="AH59" s="32"/>
      <c r="AI59" s="33"/>
      <c r="AJ59" s="36"/>
      <c r="AK59" s="89"/>
      <c r="AL59" s="32"/>
      <c r="AM59" s="33"/>
      <c r="AN59" s="36"/>
      <c r="AO59" s="89"/>
      <c r="AP59" s="32"/>
      <c r="AQ59" s="33"/>
      <c r="AR59" s="36"/>
      <c r="AS59" s="89"/>
      <c r="AT59" s="37">
        <f t="shared" si="2"/>
        <v>66346</v>
      </c>
      <c r="AU59" s="38">
        <f t="shared" si="3"/>
        <v>66346</v>
      </c>
    </row>
    <row r="60" spans="2:47" s="26" customFormat="1" ht="22.5" x14ac:dyDescent="0.25">
      <c r="B60" s="27">
        <v>47</v>
      </c>
      <c r="C60" s="27" t="s">
        <v>514</v>
      </c>
      <c r="D60" s="50">
        <v>30457582</v>
      </c>
      <c r="E60" s="29" t="s">
        <v>1707</v>
      </c>
      <c r="F60" s="29" t="s">
        <v>54</v>
      </c>
      <c r="G60" s="30" t="s">
        <v>1645</v>
      </c>
      <c r="H60" s="42" t="s">
        <v>1648</v>
      </c>
      <c r="I60" s="88" t="s">
        <v>57</v>
      </c>
      <c r="J60" s="406">
        <v>4996254</v>
      </c>
      <c r="K60" s="31">
        <v>2611254</v>
      </c>
      <c r="L60" s="31">
        <f t="shared" si="0"/>
        <v>2385000</v>
      </c>
      <c r="M60" s="31">
        <v>0</v>
      </c>
      <c r="N60" s="31">
        <v>0</v>
      </c>
      <c r="O60" s="31">
        <v>470855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4"/>
        <v>470855</v>
      </c>
      <c r="Z60" s="32">
        <v>1784997</v>
      </c>
      <c r="AA60" s="33">
        <v>6</v>
      </c>
      <c r="AB60" s="34">
        <v>44215</v>
      </c>
      <c r="AC60" s="90">
        <v>44228</v>
      </c>
      <c r="AD60" s="32"/>
      <c r="AE60" s="35"/>
      <c r="AF60" s="36"/>
      <c r="AG60" s="89"/>
      <c r="AH60" s="32"/>
      <c r="AI60" s="33"/>
      <c r="AJ60" s="36"/>
      <c r="AK60" s="89"/>
      <c r="AL60" s="32"/>
      <c r="AM60" s="33"/>
      <c r="AN60" s="36"/>
      <c r="AO60" s="89"/>
      <c r="AP60" s="32"/>
      <c r="AQ60" s="33"/>
      <c r="AR60" s="36"/>
      <c r="AS60" s="89"/>
      <c r="AT60" s="37">
        <f t="shared" si="2"/>
        <v>1784997</v>
      </c>
      <c r="AU60" s="38">
        <f t="shared" si="3"/>
        <v>1314142</v>
      </c>
    </row>
    <row r="61" spans="2:47" s="26" customFormat="1" ht="22.5" x14ac:dyDescent="0.25">
      <c r="B61" s="27">
        <v>48</v>
      </c>
      <c r="C61" s="27" t="s">
        <v>514</v>
      </c>
      <c r="D61" s="50">
        <v>30462580</v>
      </c>
      <c r="E61" s="29" t="s">
        <v>1708</v>
      </c>
      <c r="F61" s="29" t="s">
        <v>54</v>
      </c>
      <c r="G61" s="30" t="s">
        <v>1645</v>
      </c>
      <c r="H61" s="42" t="s">
        <v>1709</v>
      </c>
      <c r="I61" s="88" t="s">
        <v>72</v>
      </c>
      <c r="J61" s="406">
        <v>710900</v>
      </c>
      <c r="K61" s="31">
        <v>1354</v>
      </c>
      <c r="L61" s="31">
        <f t="shared" si="0"/>
        <v>709546</v>
      </c>
      <c r="M61" s="31">
        <v>0</v>
      </c>
      <c r="N61" s="31">
        <v>0</v>
      </c>
      <c r="O61" s="31">
        <v>0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4"/>
        <v>0</v>
      </c>
      <c r="Z61" s="32">
        <v>411550</v>
      </c>
      <c r="AA61" s="33">
        <v>6</v>
      </c>
      <c r="AB61" s="34">
        <v>44215</v>
      </c>
      <c r="AC61" s="90">
        <v>44228</v>
      </c>
      <c r="AD61" s="32"/>
      <c r="AE61" s="35"/>
      <c r="AF61" s="36"/>
      <c r="AG61" s="89"/>
      <c r="AH61" s="32"/>
      <c r="AI61" s="33"/>
      <c r="AJ61" s="36"/>
      <c r="AK61" s="89"/>
      <c r="AL61" s="32"/>
      <c r="AM61" s="33"/>
      <c r="AN61" s="36"/>
      <c r="AO61" s="89"/>
      <c r="AP61" s="32"/>
      <c r="AQ61" s="33"/>
      <c r="AR61" s="36"/>
      <c r="AS61" s="89"/>
      <c r="AT61" s="37">
        <f t="shared" si="2"/>
        <v>411550</v>
      </c>
      <c r="AU61" s="38">
        <f t="shared" si="3"/>
        <v>411550</v>
      </c>
    </row>
    <row r="62" spans="2:47" s="26" customFormat="1" ht="22.5" x14ac:dyDescent="0.25">
      <c r="B62" s="27">
        <v>49</v>
      </c>
      <c r="C62" s="27" t="s">
        <v>514</v>
      </c>
      <c r="D62" s="50">
        <v>30463433</v>
      </c>
      <c r="E62" s="29" t="s">
        <v>1710</v>
      </c>
      <c r="F62" s="29" t="s">
        <v>54</v>
      </c>
      <c r="G62" s="30" t="s">
        <v>1645</v>
      </c>
      <c r="H62" s="42" t="s">
        <v>1702</v>
      </c>
      <c r="I62" s="88" t="s">
        <v>72</v>
      </c>
      <c r="J62" s="406">
        <v>2660764</v>
      </c>
      <c r="K62" s="31">
        <v>0</v>
      </c>
      <c r="L62" s="31">
        <f t="shared" si="0"/>
        <v>2660764</v>
      </c>
      <c r="M62" s="31">
        <v>0</v>
      </c>
      <c r="N62" s="31">
        <v>0</v>
      </c>
      <c r="O62" s="31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4"/>
        <v>0</v>
      </c>
      <c r="Z62" s="32">
        <v>3</v>
      </c>
      <c r="AA62" s="33">
        <v>6</v>
      </c>
      <c r="AB62" s="34">
        <v>44215</v>
      </c>
      <c r="AC62" s="90">
        <v>44228</v>
      </c>
      <c r="AD62" s="32"/>
      <c r="AE62" s="35"/>
      <c r="AF62" s="36"/>
      <c r="AG62" s="89"/>
      <c r="AH62" s="32"/>
      <c r="AI62" s="33"/>
      <c r="AJ62" s="36"/>
      <c r="AK62" s="89"/>
      <c r="AL62" s="32"/>
      <c r="AM62" s="33"/>
      <c r="AN62" s="36"/>
      <c r="AO62" s="89"/>
      <c r="AP62" s="32"/>
      <c r="AQ62" s="33"/>
      <c r="AR62" s="36"/>
      <c r="AS62" s="89"/>
      <c r="AT62" s="37">
        <f t="shared" si="2"/>
        <v>3</v>
      </c>
      <c r="AU62" s="38">
        <f t="shared" si="3"/>
        <v>3</v>
      </c>
    </row>
    <row r="63" spans="2:47" s="26" customFormat="1" ht="22.5" x14ac:dyDescent="0.25">
      <c r="B63" s="27">
        <v>50</v>
      </c>
      <c r="C63" s="27" t="s">
        <v>514</v>
      </c>
      <c r="D63" s="50">
        <v>30464205</v>
      </c>
      <c r="E63" s="29" t="s">
        <v>1711</v>
      </c>
      <c r="F63" s="29" t="s">
        <v>54</v>
      </c>
      <c r="G63" s="30" t="s">
        <v>1645</v>
      </c>
      <c r="H63" s="42" t="s">
        <v>1712</v>
      </c>
      <c r="I63" s="88" t="s">
        <v>57</v>
      </c>
      <c r="J63" s="406">
        <v>1258331</v>
      </c>
      <c r="K63" s="31">
        <v>1151815</v>
      </c>
      <c r="L63" s="31">
        <f t="shared" si="0"/>
        <v>106516</v>
      </c>
      <c r="M63" s="31">
        <v>0</v>
      </c>
      <c r="N63" s="31">
        <v>0</v>
      </c>
      <c r="O63" s="31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4"/>
        <v>0</v>
      </c>
      <c r="Z63" s="32">
        <v>106517</v>
      </c>
      <c r="AA63" s="33">
        <v>6</v>
      </c>
      <c r="AB63" s="34">
        <v>44215</v>
      </c>
      <c r="AC63" s="90">
        <v>44228</v>
      </c>
      <c r="AD63" s="32"/>
      <c r="AE63" s="35"/>
      <c r="AF63" s="36"/>
      <c r="AG63" s="89"/>
      <c r="AH63" s="32"/>
      <c r="AI63" s="33"/>
      <c r="AJ63" s="36"/>
      <c r="AK63" s="89"/>
      <c r="AL63" s="32"/>
      <c r="AM63" s="33"/>
      <c r="AN63" s="36"/>
      <c r="AO63" s="89"/>
      <c r="AP63" s="32"/>
      <c r="AQ63" s="33"/>
      <c r="AR63" s="36"/>
      <c r="AS63" s="89"/>
      <c r="AT63" s="37">
        <f t="shared" si="2"/>
        <v>106517</v>
      </c>
      <c r="AU63" s="38">
        <f t="shared" si="3"/>
        <v>106517</v>
      </c>
    </row>
    <row r="64" spans="2:47" s="26" customFormat="1" ht="22.5" x14ac:dyDescent="0.25">
      <c r="B64" s="27">
        <v>51</v>
      </c>
      <c r="C64" s="27" t="s">
        <v>514</v>
      </c>
      <c r="D64" s="50">
        <v>30464213</v>
      </c>
      <c r="E64" s="29" t="s">
        <v>1713</v>
      </c>
      <c r="F64" s="29" t="s">
        <v>54</v>
      </c>
      <c r="G64" s="30" t="s">
        <v>1645</v>
      </c>
      <c r="H64" s="42" t="s">
        <v>1714</v>
      </c>
      <c r="I64" s="88" t="s">
        <v>57</v>
      </c>
      <c r="J64" s="406">
        <v>730843</v>
      </c>
      <c r="K64" s="31">
        <v>684442</v>
      </c>
      <c r="L64" s="31">
        <f t="shared" si="0"/>
        <v>46401</v>
      </c>
      <c r="M64" s="31">
        <v>0</v>
      </c>
      <c r="N64" s="31">
        <v>0</v>
      </c>
      <c r="O64" s="31">
        <v>0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4"/>
        <v>0</v>
      </c>
      <c r="Z64" s="32">
        <v>46402</v>
      </c>
      <c r="AA64" s="33">
        <v>6</v>
      </c>
      <c r="AB64" s="34">
        <v>44215</v>
      </c>
      <c r="AC64" s="90">
        <v>44228</v>
      </c>
      <c r="AD64" s="32"/>
      <c r="AE64" s="35"/>
      <c r="AF64" s="36"/>
      <c r="AG64" s="89"/>
      <c r="AH64" s="32"/>
      <c r="AI64" s="33"/>
      <c r="AJ64" s="36"/>
      <c r="AK64" s="89"/>
      <c r="AL64" s="32"/>
      <c r="AM64" s="33"/>
      <c r="AN64" s="36"/>
      <c r="AO64" s="89"/>
      <c r="AP64" s="32"/>
      <c r="AQ64" s="33"/>
      <c r="AR64" s="36"/>
      <c r="AS64" s="89"/>
      <c r="AT64" s="37">
        <f t="shared" si="2"/>
        <v>46402</v>
      </c>
      <c r="AU64" s="38">
        <f t="shared" si="3"/>
        <v>46402</v>
      </c>
    </row>
    <row r="65" spans="2:47" s="26" customFormat="1" ht="22.5" x14ac:dyDescent="0.25">
      <c r="B65" s="27">
        <v>52</v>
      </c>
      <c r="C65" s="27" t="s">
        <v>514</v>
      </c>
      <c r="D65" s="50">
        <v>30464747</v>
      </c>
      <c r="E65" s="29" t="s">
        <v>1715</v>
      </c>
      <c r="F65" s="29" t="s">
        <v>54</v>
      </c>
      <c r="G65" s="30" t="s">
        <v>1645</v>
      </c>
      <c r="H65" s="42" t="s">
        <v>1702</v>
      </c>
      <c r="I65" s="88" t="s">
        <v>72</v>
      </c>
      <c r="J65" s="406">
        <v>930427</v>
      </c>
      <c r="K65" s="31">
        <v>0</v>
      </c>
      <c r="L65" s="31">
        <f t="shared" si="0"/>
        <v>930427</v>
      </c>
      <c r="M65" s="31">
        <v>0</v>
      </c>
      <c r="N65" s="31">
        <v>0</v>
      </c>
      <c r="O65" s="31">
        <v>131062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4"/>
        <v>131062</v>
      </c>
      <c r="Z65" s="32">
        <v>600000</v>
      </c>
      <c r="AA65" s="33">
        <v>6</v>
      </c>
      <c r="AB65" s="34">
        <v>44215</v>
      </c>
      <c r="AC65" s="90">
        <v>44228</v>
      </c>
      <c r="AD65" s="32"/>
      <c r="AE65" s="35"/>
      <c r="AF65" s="36"/>
      <c r="AG65" s="89"/>
      <c r="AH65" s="32"/>
      <c r="AI65" s="33"/>
      <c r="AJ65" s="36"/>
      <c r="AK65" s="89"/>
      <c r="AL65" s="32"/>
      <c r="AM65" s="33"/>
      <c r="AN65" s="36"/>
      <c r="AO65" s="89"/>
      <c r="AP65" s="32"/>
      <c r="AQ65" s="33"/>
      <c r="AR65" s="36"/>
      <c r="AS65" s="89"/>
      <c r="AT65" s="37">
        <f t="shared" si="2"/>
        <v>600000</v>
      </c>
      <c r="AU65" s="38">
        <f t="shared" si="3"/>
        <v>468938</v>
      </c>
    </row>
    <row r="66" spans="2:47" s="26" customFormat="1" ht="22.5" x14ac:dyDescent="0.25">
      <c r="B66" s="27">
        <v>53</v>
      </c>
      <c r="C66" s="27" t="s">
        <v>514</v>
      </c>
      <c r="D66" s="50">
        <v>30468993</v>
      </c>
      <c r="E66" s="29" t="s">
        <v>1716</v>
      </c>
      <c r="F66" s="29" t="s">
        <v>54</v>
      </c>
      <c r="G66" s="30" t="s">
        <v>1645</v>
      </c>
      <c r="H66" s="42" t="s">
        <v>1717</v>
      </c>
      <c r="I66" s="88" t="s">
        <v>72</v>
      </c>
      <c r="J66" s="406">
        <v>459909</v>
      </c>
      <c r="K66" s="31">
        <v>0</v>
      </c>
      <c r="L66" s="31">
        <f t="shared" si="0"/>
        <v>459909</v>
      </c>
      <c r="M66" s="31">
        <v>0</v>
      </c>
      <c r="N66" s="31">
        <v>0</v>
      </c>
      <c r="O66" s="31"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4"/>
        <v>0</v>
      </c>
      <c r="Z66" s="32">
        <v>459909</v>
      </c>
      <c r="AA66" s="33">
        <v>6</v>
      </c>
      <c r="AB66" s="34">
        <v>44215</v>
      </c>
      <c r="AC66" s="90">
        <v>44228</v>
      </c>
      <c r="AD66" s="32"/>
      <c r="AE66" s="35"/>
      <c r="AF66" s="36"/>
      <c r="AG66" s="89"/>
      <c r="AH66" s="32"/>
      <c r="AI66" s="33"/>
      <c r="AJ66" s="36"/>
      <c r="AK66" s="89"/>
      <c r="AL66" s="32"/>
      <c r="AM66" s="33"/>
      <c r="AN66" s="36"/>
      <c r="AO66" s="89"/>
      <c r="AP66" s="32"/>
      <c r="AQ66" s="33"/>
      <c r="AR66" s="36"/>
      <c r="AS66" s="89"/>
      <c r="AT66" s="37">
        <f t="shared" si="2"/>
        <v>459909</v>
      </c>
      <c r="AU66" s="38">
        <f t="shared" si="3"/>
        <v>459909</v>
      </c>
    </row>
    <row r="67" spans="2:47" s="26" customFormat="1" ht="22.5" x14ac:dyDescent="0.25">
      <c r="B67" s="27">
        <v>54</v>
      </c>
      <c r="C67" s="27" t="s">
        <v>514</v>
      </c>
      <c r="D67" s="50">
        <v>30473006</v>
      </c>
      <c r="E67" s="29" t="s">
        <v>1718</v>
      </c>
      <c r="F67" s="29" t="s">
        <v>54</v>
      </c>
      <c r="G67" s="30" t="s">
        <v>1645</v>
      </c>
      <c r="H67" s="42" t="s">
        <v>1665</v>
      </c>
      <c r="I67" s="88" t="s">
        <v>57</v>
      </c>
      <c r="J67" s="406">
        <v>471437</v>
      </c>
      <c r="K67" s="31">
        <v>221628</v>
      </c>
      <c r="L67" s="31">
        <f t="shared" si="0"/>
        <v>249809</v>
      </c>
      <c r="M67" s="31">
        <v>0</v>
      </c>
      <c r="N67" s="31">
        <v>158338</v>
      </c>
      <c r="O67" s="31">
        <v>86352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4"/>
        <v>244690</v>
      </c>
      <c r="Z67" s="32">
        <v>249809</v>
      </c>
      <c r="AA67" s="33">
        <v>6</v>
      </c>
      <c r="AB67" s="34">
        <v>44215</v>
      </c>
      <c r="AC67" s="90">
        <v>44228</v>
      </c>
      <c r="AD67" s="32"/>
      <c r="AE67" s="35"/>
      <c r="AF67" s="36"/>
      <c r="AG67" s="89"/>
      <c r="AH67" s="32"/>
      <c r="AI67" s="33"/>
      <c r="AJ67" s="36"/>
      <c r="AK67" s="89"/>
      <c r="AL67" s="32"/>
      <c r="AM67" s="33"/>
      <c r="AN67" s="36"/>
      <c r="AO67" s="89"/>
      <c r="AP67" s="32"/>
      <c r="AQ67" s="33"/>
      <c r="AR67" s="36"/>
      <c r="AS67" s="89"/>
      <c r="AT67" s="37">
        <f t="shared" si="2"/>
        <v>249809</v>
      </c>
      <c r="AU67" s="38">
        <f t="shared" si="3"/>
        <v>5119</v>
      </c>
    </row>
    <row r="68" spans="2:47" s="26" customFormat="1" ht="22.5" x14ac:dyDescent="0.25">
      <c r="B68" s="27">
        <v>55</v>
      </c>
      <c r="C68" s="27" t="s">
        <v>514</v>
      </c>
      <c r="D68" s="50">
        <v>30473009</v>
      </c>
      <c r="E68" s="29" t="s">
        <v>1719</v>
      </c>
      <c r="F68" s="29" t="s">
        <v>54</v>
      </c>
      <c r="G68" s="30" t="s">
        <v>1645</v>
      </c>
      <c r="H68" s="42" t="s">
        <v>1697</v>
      </c>
      <c r="I68" s="88" t="s">
        <v>57</v>
      </c>
      <c r="J68" s="406">
        <v>472947</v>
      </c>
      <c r="K68" s="31">
        <v>114916</v>
      </c>
      <c r="L68" s="31">
        <f t="shared" si="0"/>
        <v>358031</v>
      </c>
      <c r="M68" s="31">
        <v>0</v>
      </c>
      <c r="N68" s="31">
        <v>72292</v>
      </c>
      <c r="O68" s="31">
        <v>83866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4"/>
        <v>156158</v>
      </c>
      <c r="Z68" s="32">
        <v>317275</v>
      </c>
      <c r="AA68" s="33">
        <v>6</v>
      </c>
      <c r="AB68" s="34">
        <v>44215</v>
      </c>
      <c r="AC68" s="90">
        <v>44228</v>
      </c>
      <c r="AD68" s="32"/>
      <c r="AE68" s="35"/>
      <c r="AF68" s="36"/>
      <c r="AG68" s="89"/>
      <c r="AH68" s="32"/>
      <c r="AI68" s="33"/>
      <c r="AJ68" s="36"/>
      <c r="AK68" s="89"/>
      <c r="AL68" s="32"/>
      <c r="AM68" s="33"/>
      <c r="AN68" s="36"/>
      <c r="AO68" s="89"/>
      <c r="AP68" s="32"/>
      <c r="AQ68" s="33"/>
      <c r="AR68" s="36"/>
      <c r="AS68" s="89"/>
      <c r="AT68" s="37">
        <f t="shared" si="2"/>
        <v>317275</v>
      </c>
      <c r="AU68" s="38">
        <f t="shared" si="3"/>
        <v>161117</v>
      </c>
    </row>
    <row r="69" spans="2:47" s="26" customFormat="1" ht="22.5" x14ac:dyDescent="0.25">
      <c r="B69" s="27">
        <v>56</v>
      </c>
      <c r="C69" s="27" t="s">
        <v>514</v>
      </c>
      <c r="D69" s="50">
        <v>30473031</v>
      </c>
      <c r="E69" s="29" t="s">
        <v>1720</v>
      </c>
      <c r="F69" s="29" t="s">
        <v>54</v>
      </c>
      <c r="G69" s="30" t="s">
        <v>1645</v>
      </c>
      <c r="H69" s="42" t="s">
        <v>1648</v>
      </c>
      <c r="I69" s="88" t="s">
        <v>57</v>
      </c>
      <c r="J69" s="406">
        <v>374128</v>
      </c>
      <c r="K69" s="31">
        <v>116625</v>
      </c>
      <c r="L69" s="31">
        <f t="shared" si="0"/>
        <v>257503</v>
      </c>
      <c r="M69" s="31">
        <v>0</v>
      </c>
      <c r="N69" s="31">
        <v>43899</v>
      </c>
      <c r="O69" s="31">
        <v>25030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4"/>
        <v>68929</v>
      </c>
      <c r="Z69" s="32">
        <v>257504</v>
      </c>
      <c r="AA69" s="33">
        <v>6</v>
      </c>
      <c r="AB69" s="34">
        <v>44215</v>
      </c>
      <c r="AC69" s="90">
        <v>44228</v>
      </c>
      <c r="AD69" s="32"/>
      <c r="AE69" s="35"/>
      <c r="AF69" s="36"/>
      <c r="AG69" s="89"/>
      <c r="AH69" s="32"/>
      <c r="AI69" s="33"/>
      <c r="AJ69" s="36"/>
      <c r="AK69" s="89"/>
      <c r="AL69" s="32"/>
      <c r="AM69" s="33"/>
      <c r="AN69" s="36"/>
      <c r="AO69" s="89"/>
      <c r="AP69" s="32"/>
      <c r="AQ69" s="33"/>
      <c r="AR69" s="36"/>
      <c r="AS69" s="89"/>
      <c r="AT69" s="37">
        <f t="shared" si="2"/>
        <v>257504</v>
      </c>
      <c r="AU69" s="38">
        <f t="shared" si="3"/>
        <v>188575</v>
      </c>
    </row>
    <row r="70" spans="2:47" s="26" customFormat="1" ht="22.5" x14ac:dyDescent="0.25">
      <c r="B70" s="27">
        <v>57</v>
      </c>
      <c r="C70" s="27" t="s">
        <v>514</v>
      </c>
      <c r="D70" s="50">
        <v>30473046</v>
      </c>
      <c r="E70" s="29" t="s">
        <v>1721</v>
      </c>
      <c r="F70" s="29" t="s">
        <v>54</v>
      </c>
      <c r="G70" s="30" t="s">
        <v>1645</v>
      </c>
      <c r="H70" s="42" t="s">
        <v>1693</v>
      </c>
      <c r="I70" s="88" t="s">
        <v>57</v>
      </c>
      <c r="J70" s="406">
        <v>367396</v>
      </c>
      <c r="K70" s="31">
        <v>0</v>
      </c>
      <c r="L70" s="31">
        <f t="shared" si="0"/>
        <v>367396</v>
      </c>
      <c r="M70" s="31">
        <v>0</v>
      </c>
      <c r="N70" s="31">
        <v>15036</v>
      </c>
      <c r="O70" s="31">
        <v>47533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4"/>
        <v>62569</v>
      </c>
      <c r="Z70" s="32">
        <v>427380</v>
      </c>
      <c r="AA70" s="33">
        <v>6</v>
      </c>
      <c r="AB70" s="34">
        <v>44215</v>
      </c>
      <c r="AC70" s="90">
        <v>44228</v>
      </c>
      <c r="AD70" s="32"/>
      <c r="AE70" s="35"/>
      <c r="AF70" s="36"/>
      <c r="AG70" s="89"/>
      <c r="AH70" s="32"/>
      <c r="AI70" s="33"/>
      <c r="AJ70" s="36"/>
      <c r="AK70" s="89"/>
      <c r="AL70" s="32"/>
      <c r="AM70" s="33"/>
      <c r="AN70" s="36"/>
      <c r="AO70" s="89"/>
      <c r="AP70" s="32"/>
      <c r="AQ70" s="33"/>
      <c r="AR70" s="36"/>
      <c r="AS70" s="89"/>
      <c r="AT70" s="37">
        <f t="shared" si="2"/>
        <v>427380</v>
      </c>
      <c r="AU70" s="38">
        <f t="shared" si="3"/>
        <v>364811</v>
      </c>
    </row>
    <row r="71" spans="2:47" s="26" customFormat="1" ht="22.5" x14ac:dyDescent="0.25">
      <c r="B71" s="27">
        <v>58</v>
      </c>
      <c r="C71" s="27" t="s">
        <v>514</v>
      </c>
      <c r="D71" s="50">
        <v>30482212</v>
      </c>
      <c r="E71" s="29" t="s">
        <v>1722</v>
      </c>
      <c r="F71" s="29" t="s">
        <v>54</v>
      </c>
      <c r="G71" s="30" t="s">
        <v>1645</v>
      </c>
      <c r="H71" s="42" t="s">
        <v>1648</v>
      </c>
      <c r="I71" s="88" t="s">
        <v>72</v>
      </c>
      <c r="J71" s="406">
        <v>479090</v>
      </c>
      <c r="K71" s="31">
        <v>0</v>
      </c>
      <c r="L71" s="31">
        <f t="shared" si="0"/>
        <v>479090</v>
      </c>
      <c r="M71" s="31">
        <v>0</v>
      </c>
      <c r="N71" s="31">
        <v>0</v>
      </c>
      <c r="O71" s="31">
        <v>0</v>
      </c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4"/>
        <v>0</v>
      </c>
      <c r="Z71" s="32">
        <v>479090</v>
      </c>
      <c r="AA71" s="33">
        <v>6</v>
      </c>
      <c r="AB71" s="34">
        <v>44215</v>
      </c>
      <c r="AC71" s="90">
        <v>44228</v>
      </c>
      <c r="AD71" s="32"/>
      <c r="AE71" s="35"/>
      <c r="AF71" s="36"/>
      <c r="AG71" s="89"/>
      <c r="AH71" s="32"/>
      <c r="AI71" s="33"/>
      <c r="AJ71" s="36"/>
      <c r="AK71" s="89"/>
      <c r="AL71" s="32"/>
      <c r="AM71" s="33"/>
      <c r="AN71" s="36"/>
      <c r="AO71" s="89"/>
      <c r="AP71" s="32"/>
      <c r="AQ71" s="33"/>
      <c r="AR71" s="36"/>
      <c r="AS71" s="89"/>
      <c r="AT71" s="37">
        <f t="shared" si="2"/>
        <v>479090</v>
      </c>
      <c r="AU71" s="38">
        <f t="shared" si="3"/>
        <v>479090</v>
      </c>
    </row>
    <row r="72" spans="2:47" s="26" customFormat="1" ht="22.5" x14ac:dyDescent="0.25">
      <c r="B72" s="27">
        <v>59</v>
      </c>
      <c r="C72" s="27" t="s">
        <v>514</v>
      </c>
      <c r="D72" s="50">
        <v>30483898</v>
      </c>
      <c r="E72" s="29" t="s">
        <v>1723</v>
      </c>
      <c r="F72" s="29" t="s">
        <v>60</v>
      </c>
      <c r="G72" s="30" t="s">
        <v>1645</v>
      </c>
      <c r="H72" s="42" t="s">
        <v>1705</v>
      </c>
      <c r="I72" s="88" t="s">
        <v>57</v>
      </c>
      <c r="J72" s="406">
        <v>56013</v>
      </c>
      <c r="K72" s="31">
        <v>33813</v>
      </c>
      <c r="L72" s="31">
        <f t="shared" si="0"/>
        <v>22200</v>
      </c>
      <c r="M72" s="31">
        <v>0</v>
      </c>
      <c r="N72" s="31">
        <v>0</v>
      </c>
      <c r="O72" s="31">
        <v>0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4"/>
        <v>0</v>
      </c>
      <c r="Z72" s="32">
        <v>22200</v>
      </c>
      <c r="AA72" s="33">
        <v>6</v>
      </c>
      <c r="AB72" s="34">
        <v>44215</v>
      </c>
      <c r="AC72" s="90">
        <v>44228</v>
      </c>
      <c r="AD72" s="32"/>
      <c r="AE72" s="35"/>
      <c r="AF72" s="36"/>
      <c r="AG72" s="89"/>
      <c r="AH72" s="32"/>
      <c r="AI72" s="33"/>
      <c r="AJ72" s="36"/>
      <c r="AK72" s="89"/>
      <c r="AL72" s="32"/>
      <c r="AM72" s="33"/>
      <c r="AN72" s="36"/>
      <c r="AO72" s="89"/>
      <c r="AP72" s="32"/>
      <c r="AQ72" s="33"/>
      <c r="AR72" s="36"/>
      <c r="AS72" s="89"/>
      <c r="AT72" s="37">
        <f t="shared" si="2"/>
        <v>22200</v>
      </c>
      <c r="AU72" s="38">
        <f t="shared" si="3"/>
        <v>22200</v>
      </c>
    </row>
    <row r="73" spans="2:47" s="26" customFormat="1" ht="22.5" x14ac:dyDescent="0.25">
      <c r="B73" s="27">
        <v>60</v>
      </c>
      <c r="C73" s="27" t="s">
        <v>514</v>
      </c>
      <c r="D73" s="50">
        <v>30484309</v>
      </c>
      <c r="E73" s="29" t="s">
        <v>1724</v>
      </c>
      <c r="F73" s="29" t="s">
        <v>54</v>
      </c>
      <c r="G73" s="30" t="s">
        <v>1645</v>
      </c>
      <c r="H73" s="42" t="s">
        <v>1717</v>
      </c>
      <c r="I73" s="88" t="s">
        <v>57</v>
      </c>
      <c r="J73" s="406">
        <v>1018382</v>
      </c>
      <c r="K73" s="31">
        <v>979456</v>
      </c>
      <c r="L73" s="31">
        <f t="shared" si="0"/>
        <v>38926</v>
      </c>
      <c r="M73" s="31">
        <v>0</v>
      </c>
      <c r="N73" s="31">
        <v>0</v>
      </c>
      <c r="O73" s="31">
        <v>0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4"/>
        <v>0</v>
      </c>
      <c r="Z73" s="32">
        <v>18968</v>
      </c>
      <c r="AA73" s="33">
        <v>6</v>
      </c>
      <c r="AB73" s="34">
        <v>44215</v>
      </c>
      <c r="AC73" s="90">
        <v>44228</v>
      </c>
      <c r="AD73" s="32"/>
      <c r="AE73" s="35"/>
      <c r="AF73" s="36"/>
      <c r="AG73" s="89"/>
      <c r="AH73" s="32"/>
      <c r="AI73" s="33"/>
      <c r="AJ73" s="36"/>
      <c r="AK73" s="89"/>
      <c r="AL73" s="32"/>
      <c r="AM73" s="33"/>
      <c r="AN73" s="36"/>
      <c r="AO73" s="89"/>
      <c r="AP73" s="32"/>
      <c r="AQ73" s="33"/>
      <c r="AR73" s="36"/>
      <c r="AS73" s="89"/>
      <c r="AT73" s="37">
        <f t="shared" si="2"/>
        <v>18968</v>
      </c>
      <c r="AU73" s="38">
        <f t="shared" si="3"/>
        <v>18968</v>
      </c>
    </row>
    <row r="74" spans="2:47" s="26" customFormat="1" ht="22.5" x14ac:dyDescent="0.25">
      <c r="B74" s="27">
        <v>61</v>
      </c>
      <c r="C74" s="27" t="s">
        <v>514</v>
      </c>
      <c r="D74" s="50">
        <v>30487269</v>
      </c>
      <c r="E74" s="29" t="s">
        <v>1725</v>
      </c>
      <c r="F74" s="29" t="s">
        <v>60</v>
      </c>
      <c r="G74" s="30" t="s">
        <v>1645</v>
      </c>
      <c r="H74" s="42" t="s">
        <v>1665</v>
      </c>
      <c r="I74" s="88" t="s">
        <v>57</v>
      </c>
      <c r="J74" s="406">
        <v>240896</v>
      </c>
      <c r="K74" s="31">
        <v>530</v>
      </c>
      <c r="L74" s="31">
        <f t="shared" si="0"/>
        <v>240366</v>
      </c>
      <c r="M74" s="31">
        <v>0</v>
      </c>
      <c r="N74" s="31">
        <v>23950</v>
      </c>
      <c r="O74" s="31">
        <v>0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4"/>
        <v>23950</v>
      </c>
      <c r="Z74" s="32">
        <v>53970</v>
      </c>
      <c r="AA74" s="33">
        <v>6</v>
      </c>
      <c r="AB74" s="34">
        <v>44215</v>
      </c>
      <c r="AC74" s="90">
        <v>44228</v>
      </c>
      <c r="AD74" s="32"/>
      <c r="AE74" s="35"/>
      <c r="AF74" s="36"/>
      <c r="AG74" s="89"/>
      <c r="AH74" s="32"/>
      <c r="AI74" s="33"/>
      <c r="AJ74" s="36"/>
      <c r="AK74" s="89"/>
      <c r="AL74" s="32"/>
      <c r="AM74" s="33"/>
      <c r="AN74" s="36"/>
      <c r="AO74" s="89"/>
      <c r="AP74" s="32"/>
      <c r="AQ74" s="33"/>
      <c r="AR74" s="36"/>
      <c r="AS74" s="89"/>
      <c r="AT74" s="37">
        <f t="shared" si="2"/>
        <v>53970</v>
      </c>
      <c r="AU74" s="38">
        <f t="shared" si="3"/>
        <v>30020</v>
      </c>
    </row>
    <row r="75" spans="2:47" s="26" customFormat="1" ht="22.5" x14ac:dyDescent="0.25">
      <c r="B75" s="27">
        <v>62</v>
      </c>
      <c r="C75" s="27" t="s">
        <v>514</v>
      </c>
      <c r="D75" s="50">
        <v>40000023</v>
      </c>
      <c r="E75" s="29" t="s">
        <v>1726</v>
      </c>
      <c r="F75" s="29" t="s">
        <v>54</v>
      </c>
      <c r="G75" s="30" t="s">
        <v>1645</v>
      </c>
      <c r="H75" s="42" t="s">
        <v>1646</v>
      </c>
      <c r="I75" s="88" t="s">
        <v>72</v>
      </c>
      <c r="J75" s="406">
        <v>298329</v>
      </c>
      <c r="K75" s="31">
        <v>180</v>
      </c>
      <c r="L75" s="31">
        <f t="shared" si="0"/>
        <v>298149</v>
      </c>
      <c r="M75" s="31">
        <v>0</v>
      </c>
      <c r="N75" s="31">
        <v>0</v>
      </c>
      <c r="O75" s="31">
        <v>0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4"/>
        <v>0</v>
      </c>
      <c r="Z75" s="32">
        <v>242212</v>
      </c>
      <c r="AA75" s="33">
        <v>6</v>
      </c>
      <c r="AB75" s="34">
        <v>44215</v>
      </c>
      <c r="AC75" s="90">
        <v>44228</v>
      </c>
      <c r="AD75" s="32"/>
      <c r="AE75" s="35"/>
      <c r="AF75" s="36"/>
      <c r="AG75" s="89"/>
      <c r="AH75" s="32"/>
      <c r="AI75" s="33"/>
      <c r="AJ75" s="36"/>
      <c r="AK75" s="89"/>
      <c r="AL75" s="32"/>
      <c r="AM75" s="33"/>
      <c r="AN75" s="36"/>
      <c r="AO75" s="89"/>
      <c r="AP75" s="32"/>
      <c r="AQ75" s="33"/>
      <c r="AR75" s="36"/>
      <c r="AS75" s="89"/>
      <c r="AT75" s="37">
        <f t="shared" si="2"/>
        <v>242212</v>
      </c>
      <c r="AU75" s="38">
        <f t="shared" si="3"/>
        <v>242212</v>
      </c>
    </row>
    <row r="76" spans="2:47" s="26" customFormat="1" ht="22.5" x14ac:dyDescent="0.25">
      <c r="B76" s="27">
        <v>63</v>
      </c>
      <c r="C76" s="27" t="s">
        <v>514</v>
      </c>
      <c r="D76" s="50">
        <v>40000846</v>
      </c>
      <c r="E76" s="29" t="s">
        <v>1727</v>
      </c>
      <c r="F76" s="29" t="s">
        <v>54</v>
      </c>
      <c r="G76" s="30" t="s">
        <v>1645</v>
      </c>
      <c r="H76" s="42" t="s">
        <v>1681</v>
      </c>
      <c r="I76" s="88" t="s">
        <v>57</v>
      </c>
      <c r="J76" s="406">
        <v>2515637</v>
      </c>
      <c r="K76" s="31">
        <v>2318462</v>
      </c>
      <c r="L76" s="31">
        <f t="shared" si="0"/>
        <v>197175</v>
      </c>
      <c r="M76" s="31">
        <v>0</v>
      </c>
      <c r="N76" s="31">
        <v>0</v>
      </c>
      <c r="O76" s="31">
        <v>0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4"/>
        <v>0</v>
      </c>
      <c r="Z76" s="32">
        <v>197175</v>
      </c>
      <c r="AA76" s="33">
        <v>6</v>
      </c>
      <c r="AB76" s="34">
        <v>44215</v>
      </c>
      <c r="AC76" s="90">
        <v>44228</v>
      </c>
      <c r="AD76" s="32"/>
      <c r="AE76" s="35"/>
      <c r="AF76" s="36"/>
      <c r="AG76" s="89"/>
      <c r="AH76" s="32"/>
      <c r="AI76" s="33"/>
      <c r="AJ76" s="36"/>
      <c r="AK76" s="89"/>
      <c r="AL76" s="32"/>
      <c r="AM76" s="33"/>
      <c r="AN76" s="36"/>
      <c r="AO76" s="89"/>
      <c r="AP76" s="32"/>
      <c r="AQ76" s="33"/>
      <c r="AR76" s="36"/>
      <c r="AS76" s="89"/>
      <c r="AT76" s="37">
        <f t="shared" si="2"/>
        <v>197175</v>
      </c>
      <c r="AU76" s="38">
        <f t="shared" si="3"/>
        <v>197175</v>
      </c>
    </row>
    <row r="77" spans="2:47" s="26" customFormat="1" ht="22.5" x14ac:dyDescent="0.25">
      <c r="B77" s="27">
        <v>65</v>
      </c>
      <c r="C77" s="27" t="s">
        <v>514</v>
      </c>
      <c r="D77" s="50">
        <v>40001995</v>
      </c>
      <c r="E77" s="29" t="s">
        <v>1728</v>
      </c>
      <c r="F77" s="29" t="s">
        <v>54</v>
      </c>
      <c r="G77" s="30" t="s">
        <v>1645</v>
      </c>
      <c r="H77" s="42" t="s">
        <v>1729</v>
      </c>
      <c r="I77" s="88" t="s">
        <v>57</v>
      </c>
      <c r="J77" s="406">
        <v>1411165</v>
      </c>
      <c r="K77" s="31">
        <v>1320408</v>
      </c>
      <c r="L77" s="31">
        <f t="shared" si="0"/>
        <v>90757</v>
      </c>
      <c r="M77" s="31">
        <v>0</v>
      </c>
      <c r="N77" s="31">
        <v>0</v>
      </c>
      <c r="O77" s="31">
        <v>0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ref="Y77:Y105" si="5">SUM(M77:X77)</f>
        <v>0</v>
      </c>
      <c r="Z77" s="32">
        <v>90757</v>
      </c>
      <c r="AA77" s="33">
        <v>6</v>
      </c>
      <c r="AB77" s="34">
        <v>44215</v>
      </c>
      <c r="AC77" s="90">
        <v>44228</v>
      </c>
      <c r="AD77" s="32"/>
      <c r="AE77" s="35"/>
      <c r="AF77" s="36"/>
      <c r="AG77" s="89"/>
      <c r="AH77" s="32"/>
      <c r="AI77" s="33"/>
      <c r="AJ77" s="36"/>
      <c r="AK77" s="89"/>
      <c r="AL77" s="32"/>
      <c r="AM77" s="33"/>
      <c r="AN77" s="36"/>
      <c r="AO77" s="89"/>
      <c r="AP77" s="32"/>
      <c r="AQ77" s="33"/>
      <c r="AR77" s="36"/>
      <c r="AS77" s="89"/>
      <c r="AT77" s="37">
        <f t="shared" si="2"/>
        <v>90757</v>
      </c>
      <c r="AU77" s="38">
        <f t="shared" si="3"/>
        <v>90757</v>
      </c>
    </row>
    <row r="78" spans="2:47" s="26" customFormat="1" ht="22.5" x14ac:dyDescent="0.25">
      <c r="B78" s="27">
        <v>66</v>
      </c>
      <c r="C78" s="27" t="s">
        <v>514</v>
      </c>
      <c r="D78" s="50">
        <v>40003115</v>
      </c>
      <c r="E78" s="29" t="s">
        <v>1730</v>
      </c>
      <c r="F78" s="29" t="s">
        <v>60</v>
      </c>
      <c r="G78" s="30" t="s">
        <v>1645</v>
      </c>
      <c r="H78" s="42" t="s">
        <v>1646</v>
      </c>
      <c r="I78" s="88" t="s">
        <v>72</v>
      </c>
      <c r="J78" s="406">
        <v>42647</v>
      </c>
      <c r="K78" s="31">
        <v>0</v>
      </c>
      <c r="L78" s="31">
        <f t="shared" si="0"/>
        <v>42647</v>
      </c>
      <c r="M78" s="31">
        <v>0</v>
      </c>
      <c r="N78" s="31">
        <v>0</v>
      </c>
      <c r="O78" s="31">
        <v>0</v>
      </c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5"/>
        <v>0</v>
      </c>
      <c r="Z78" s="32">
        <v>2</v>
      </c>
      <c r="AA78" s="33">
        <v>6</v>
      </c>
      <c r="AB78" s="34">
        <v>44215</v>
      </c>
      <c r="AC78" s="90">
        <v>44228</v>
      </c>
      <c r="AD78" s="32"/>
      <c r="AE78" s="35"/>
      <c r="AF78" s="36"/>
      <c r="AG78" s="89"/>
      <c r="AH78" s="32"/>
      <c r="AI78" s="33"/>
      <c r="AJ78" s="36"/>
      <c r="AK78" s="89"/>
      <c r="AL78" s="32"/>
      <c r="AM78" s="33"/>
      <c r="AN78" s="36"/>
      <c r="AO78" s="89"/>
      <c r="AP78" s="32"/>
      <c r="AQ78" s="33"/>
      <c r="AR78" s="36"/>
      <c r="AS78" s="89"/>
      <c r="AT78" s="37">
        <f t="shared" si="2"/>
        <v>2</v>
      </c>
      <c r="AU78" s="38">
        <f t="shared" si="3"/>
        <v>2</v>
      </c>
    </row>
    <row r="79" spans="2:47" s="26" customFormat="1" ht="22.5" x14ac:dyDescent="0.25">
      <c r="B79" s="27">
        <v>67</v>
      </c>
      <c r="C79" s="27" t="s">
        <v>514</v>
      </c>
      <c r="D79" s="50">
        <v>40003271</v>
      </c>
      <c r="E79" s="29" t="s">
        <v>1731</v>
      </c>
      <c r="F79" s="29" t="s">
        <v>54</v>
      </c>
      <c r="G79" s="30" t="s">
        <v>1645</v>
      </c>
      <c r="H79" s="42" t="s">
        <v>1654</v>
      </c>
      <c r="I79" s="88" t="s">
        <v>57</v>
      </c>
      <c r="J79" s="406">
        <v>752239</v>
      </c>
      <c r="K79" s="31">
        <v>0</v>
      </c>
      <c r="L79" s="31">
        <f t="shared" si="0"/>
        <v>752239</v>
      </c>
      <c r="M79" s="31">
        <v>0</v>
      </c>
      <c r="N79" s="31">
        <v>0</v>
      </c>
      <c r="O79" s="31">
        <v>41736</v>
      </c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5"/>
        <v>41736</v>
      </c>
      <c r="Z79" s="32">
        <v>752238</v>
      </c>
      <c r="AA79" s="33">
        <v>6</v>
      </c>
      <c r="AB79" s="34">
        <v>44215</v>
      </c>
      <c r="AC79" s="90">
        <v>44228</v>
      </c>
      <c r="AD79" s="32"/>
      <c r="AE79" s="35"/>
      <c r="AF79" s="36"/>
      <c r="AG79" s="89"/>
      <c r="AH79" s="32"/>
      <c r="AI79" s="33"/>
      <c r="AJ79" s="36"/>
      <c r="AK79" s="89"/>
      <c r="AL79" s="32"/>
      <c r="AM79" s="33"/>
      <c r="AN79" s="36"/>
      <c r="AO79" s="89"/>
      <c r="AP79" s="32"/>
      <c r="AQ79" s="33"/>
      <c r="AR79" s="36"/>
      <c r="AS79" s="89"/>
      <c r="AT79" s="37">
        <f t="shared" si="2"/>
        <v>752238</v>
      </c>
      <c r="AU79" s="38">
        <f t="shared" si="3"/>
        <v>710502</v>
      </c>
    </row>
    <row r="80" spans="2:47" s="26" customFormat="1" ht="22.5" x14ac:dyDescent="0.25">
      <c r="B80" s="27">
        <v>68</v>
      </c>
      <c r="C80" s="27" t="s">
        <v>514</v>
      </c>
      <c r="D80" s="50">
        <v>40004014</v>
      </c>
      <c r="E80" s="29" t="s">
        <v>1732</v>
      </c>
      <c r="F80" s="29" t="s">
        <v>54</v>
      </c>
      <c r="G80" s="30" t="s">
        <v>1645</v>
      </c>
      <c r="H80" s="42" t="s">
        <v>1648</v>
      </c>
      <c r="I80" s="88" t="s">
        <v>72</v>
      </c>
      <c r="J80" s="406">
        <v>284941</v>
      </c>
      <c r="K80" s="31">
        <v>0</v>
      </c>
      <c r="L80" s="31">
        <f t="shared" ref="L80:L106" si="6">J80-K80</f>
        <v>284941</v>
      </c>
      <c r="M80" s="31">
        <v>0</v>
      </c>
      <c r="N80" s="31">
        <v>0</v>
      </c>
      <c r="O80" s="31">
        <v>0</v>
      </c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si="5"/>
        <v>0</v>
      </c>
      <c r="Z80" s="32">
        <v>284941</v>
      </c>
      <c r="AA80" s="33">
        <v>6</v>
      </c>
      <c r="AB80" s="34">
        <v>44215</v>
      </c>
      <c r="AC80" s="90">
        <v>44228</v>
      </c>
      <c r="AD80" s="32"/>
      <c r="AE80" s="35"/>
      <c r="AF80" s="36"/>
      <c r="AG80" s="89"/>
      <c r="AH80" s="32"/>
      <c r="AI80" s="33"/>
      <c r="AJ80" s="36"/>
      <c r="AK80" s="89"/>
      <c r="AL80" s="32"/>
      <c r="AM80" s="33"/>
      <c r="AN80" s="36"/>
      <c r="AO80" s="89"/>
      <c r="AP80" s="32"/>
      <c r="AQ80" s="33"/>
      <c r="AR80" s="36"/>
      <c r="AS80" s="89"/>
      <c r="AT80" s="37">
        <f t="shared" ref="AT80:AT106" si="7">+Z80+AD80+AH80+AL80+AP80</f>
        <v>284941</v>
      </c>
      <c r="AU80" s="38">
        <f t="shared" ref="AU80:AU106" si="8">+AT80-Y80</f>
        <v>284941</v>
      </c>
    </row>
    <row r="81" spans="2:47" s="26" customFormat="1" ht="22.5" x14ac:dyDescent="0.25">
      <c r="B81" s="27">
        <v>69</v>
      </c>
      <c r="C81" s="27" t="s">
        <v>514</v>
      </c>
      <c r="D81" s="50">
        <v>40004565</v>
      </c>
      <c r="E81" s="29" t="s">
        <v>1733</v>
      </c>
      <c r="F81" s="29" t="s">
        <v>54</v>
      </c>
      <c r="G81" s="30" t="s">
        <v>1645</v>
      </c>
      <c r="H81" s="42" t="s">
        <v>1665</v>
      </c>
      <c r="I81" s="88" t="s">
        <v>57</v>
      </c>
      <c r="J81" s="406">
        <v>992125</v>
      </c>
      <c r="K81" s="31">
        <v>986559</v>
      </c>
      <c r="L81" s="31">
        <f t="shared" si="6"/>
        <v>5566</v>
      </c>
      <c r="M81" s="31">
        <v>0</v>
      </c>
      <c r="N81" s="31">
        <v>0</v>
      </c>
      <c r="O81" s="31">
        <v>0</v>
      </c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si="5"/>
        <v>0</v>
      </c>
      <c r="Z81" s="32">
        <v>5566</v>
      </c>
      <c r="AA81" s="33">
        <v>6</v>
      </c>
      <c r="AB81" s="34">
        <v>44215</v>
      </c>
      <c r="AC81" s="90">
        <v>44228</v>
      </c>
      <c r="AD81" s="32"/>
      <c r="AE81" s="35"/>
      <c r="AF81" s="36"/>
      <c r="AG81" s="89"/>
      <c r="AH81" s="32"/>
      <c r="AI81" s="33"/>
      <c r="AJ81" s="36"/>
      <c r="AK81" s="89"/>
      <c r="AL81" s="32"/>
      <c r="AM81" s="33"/>
      <c r="AN81" s="36"/>
      <c r="AO81" s="89"/>
      <c r="AP81" s="32"/>
      <c r="AQ81" s="33"/>
      <c r="AR81" s="36"/>
      <c r="AS81" s="89"/>
      <c r="AT81" s="37">
        <f t="shared" si="7"/>
        <v>5566</v>
      </c>
      <c r="AU81" s="38">
        <f t="shared" si="8"/>
        <v>5566</v>
      </c>
    </row>
    <row r="82" spans="2:47" s="26" customFormat="1" ht="22.5" x14ac:dyDescent="0.25">
      <c r="B82" s="27">
        <v>70</v>
      </c>
      <c r="C82" s="27" t="s">
        <v>514</v>
      </c>
      <c r="D82" s="50">
        <v>40004640</v>
      </c>
      <c r="E82" s="29" t="s">
        <v>1734</v>
      </c>
      <c r="F82" s="29" t="s">
        <v>54</v>
      </c>
      <c r="G82" s="30" t="s">
        <v>1645</v>
      </c>
      <c r="H82" s="42" t="s">
        <v>1702</v>
      </c>
      <c r="I82" s="88" t="s">
        <v>57</v>
      </c>
      <c r="J82" s="406">
        <v>1312224</v>
      </c>
      <c r="K82" s="31">
        <v>37214</v>
      </c>
      <c r="L82" s="31">
        <f t="shared" si="6"/>
        <v>1275010</v>
      </c>
      <c r="M82" s="31">
        <v>0</v>
      </c>
      <c r="N82" s="31">
        <v>367576</v>
      </c>
      <c r="O82" s="31">
        <v>0</v>
      </c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5"/>
        <v>367576</v>
      </c>
      <c r="Z82" s="32">
        <v>1274011</v>
      </c>
      <c r="AA82" s="33">
        <v>6</v>
      </c>
      <c r="AB82" s="34">
        <v>44215</v>
      </c>
      <c r="AC82" s="90">
        <v>44228</v>
      </c>
      <c r="AD82" s="32"/>
      <c r="AE82" s="35"/>
      <c r="AF82" s="36"/>
      <c r="AG82" s="89"/>
      <c r="AH82" s="32"/>
      <c r="AI82" s="33"/>
      <c r="AJ82" s="36"/>
      <c r="AK82" s="89"/>
      <c r="AL82" s="32"/>
      <c r="AM82" s="33"/>
      <c r="AN82" s="36"/>
      <c r="AO82" s="89"/>
      <c r="AP82" s="32"/>
      <c r="AQ82" s="33"/>
      <c r="AR82" s="36"/>
      <c r="AS82" s="89"/>
      <c r="AT82" s="37">
        <f t="shared" si="7"/>
        <v>1274011</v>
      </c>
      <c r="AU82" s="38">
        <f t="shared" si="8"/>
        <v>906435</v>
      </c>
    </row>
    <row r="83" spans="2:47" s="26" customFormat="1" ht="22.5" x14ac:dyDescent="0.25">
      <c r="B83" s="27">
        <v>71</v>
      </c>
      <c r="C83" s="27" t="s">
        <v>514</v>
      </c>
      <c r="D83" s="50">
        <v>40006385</v>
      </c>
      <c r="E83" s="29" t="s">
        <v>1735</v>
      </c>
      <c r="F83" s="29" t="s">
        <v>54</v>
      </c>
      <c r="G83" s="30" t="s">
        <v>1645</v>
      </c>
      <c r="H83" s="42" t="s">
        <v>1648</v>
      </c>
      <c r="I83" s="88" t="s">
        <v>57</v>
      </c>
      <c r="J83" s="406">
        <v>418882</v>
      </c>
      <c r="K83" s="31">
        <v>125219</v>
      </c>
      <c r="L83" s="31">
        <f t="shared" si="6"/>
        <v>293663</v>
      </c>
      <c r="M83" s="31">
        <v>0</v>
      </c>
      <c r="N83" s="31">
        <v>0</v>
      </c>
      <c r="O83" s="31">
        <v>85882</v>
      </c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5"/>
        <v>85882</v>
      </c>
      <c r="Z83" s="32">
        <v>293664</v>
      </c>
      <c r="AA83" s="33">
        <v>6</v>
      </c>
      <c r="AB83" s="34">
        <v>44215</v>
      </c>
      <c r="AC83" s="90">
        <v>44228</v>
      </c>
      <c r="AD83" s="32"/>
      <c r="AE83" s="35"/>
      <c r="AF83" s="36"/>
      <c r="AG83" s="89"/>
      <c r="AH83" s="32"/>
      <c r="AI83" s="33"/>
      <c r="AJ83" s="36"/>
      <c r="AK83" s="89"/>
      <c r="AL83" s="32"/>
      <c r="AM83" s="33"/>
      <c r="AN83" s="36"/>
      <c r="AO83" s="89"/>
      <c r="AP83" s="32"/>
      <c r="AQ83" s="33"/>
      <c r="AR83" s="36"/>
      <c r="AS83" s="89"/>
      <c r="AT83" s="37">
        <f t="shared" si="7"/>
        <v>293664</v>
      </c>
      <c r="AU83" s="38">
        <f t="shared" si="8"/>
        <v>207782</v>
      </c>
    </row>
    <row r="84" spans="2:47" s="26" customFormat="1" ht="22.5" x14ac:dyDescent="0.25">
      <c r="B84" s="27">
        <v>72</v>
      </c>
      <c r="C84" s="27" t="s">
        <v>514</v>
      </c>
      <c r="D84" s="50">
        <v>40007542</v>
      </c>
      <c r="E84" s="29" t="s">
        <v>1736</v>
      </c>
      <c r="F84" s="29" t="s">
        <v>54</v>
      </c>
      <c r="G84" s="30" t="s">
        <v>1645</v>
      </c>
      <c r="H84" s="42" t="s">
        <v>1705</v>
      </c>
      <c r="I84" s="88" t="s">
        <v>57</v>
      </c>
      <c r="J84" s="406">
        <v>1309496</v>
      </c>
      <c r="K84" s="31">
        <v>1240389</v>
      </c>
      <c r="L84" s="31">
        <f t="shared" si="6"/>
        <v>69107</v>
      </c>
      <c r="M84" s="31">
        <v>0</v>
      </c>
      <c r="N84" s="31">
        <v>0</v>
      </c>
      <c r="O84" s="31">
        <v>0</v>
      </c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5"/>
        <v>0</v>
      </c>
      <c r="Z84" s="32">
        <v>69108</v>
      </c>
      <c r="AA84" s="33">
        <v>6</v>
      </c>
      <c r="AB84" s="34">
        <v>44215</v>
      </c>
      <c r="AC84" s="90">
        <v>44228</v>
      </c>
      <c r="AD84" s="32"/>
      <c r="AE84" s="35"/>
      <c r="AF84" s="36"/>
      <c r="AG84" s="89"/>
      <c r="AH84" s="32"/>
      <c r="AI84" s="33"/>
      <c r="AJ84" s="36"/>
      <c r="AK84" s="89"/>
      <c r="AL84" s="32"/>
      <c r="AM84" s="33"/>
      <c r="AN84" s="36"/>
      <c r="AO84" s="89"/>
      <c r="AP84" s="32"/>
      <c r="AQ84" s="33"/>
      <c r="AR84" s="36"/>
      <c r="AS84" s="89"/>
      <c r="AT84" s="37">
        <f t="shared" si="7"/>
        <v>69108</v>
      </c>
      <c r="AU84" s="38">
        <f t="shared" si="8"/>
        <v>69108</v>
      </c>
    </row>
    <row r="85" spans="2:47" s="26" customFormat="1" ht="22.5" x14ac:dyDescent="0.25">
      <c r="B85" s="27">
        <v>73</v>
      </c>
      <c r="C85" s="27" t="s">
        <v>514</v>
      </c>
      <c r="D85" s="50">
        <v>40007652</v>
      </c>
      <c r="E85" s="29" t="s">
        <v>1737</v>
      </c>
      <c r="F85" s="29" t="s">
        <v>54</v>
      </c>
      <c r="G85" s="30" t="s">
        <v>1645</v>
      </c>
      <c r="H85" s="42" t="s">
        <v>1705</v>
      </c>
      <c r="I85" s="88" t="s">
        <v>72</v>
      </c>
      <c r="J85" s="406">
        <v>274558</v>
      </c>
      <c r="K85" s="31">
        <v>0</v>
      </c>
      <c r="L85" s="31">
        <f t="shared" si="6"/>
        <v>274558</v>
      </c>
      <c r="M85" s="31">
        <v>0</v>
      </c>
      <c r="N85" s="31">
        <v>0</v>
      </c>
      <c r="O85" s="31">
        <v>0</v>
      </c>
      <c r="P85" s="31"/>
      <c r="Q85" s="31"/>
      <c r="R85" s="31"/>
      <c r="S85" s="31"/>
      <c r="T85" s="31"/>
      <c r="U85" s="31"/>
      <c r="V85" s="31"/>
      <c r="W85" s="31"/>
      <c r="X85" s="31"/>
      <c r="Y85" s="31">
        <f t="shared" si="5"/>
        <v>0</v>
      </c>
      <c r="Z85" s="32">
        <v>501</v>
      </c>
      <c r="AA85" s="33">
        <v>6</v>
      </c>
      <c r="AB85" s="34">
        <v>44215</v>
      </c>
      <c r="AC85" s="90">
        <v>44228</v>
      </c>
      <c r="AD85" s="32"/>
      <c r="AE85" s="35"/>
      <c r="AF85" s="36"/>
      <c r="AG85" s="89"/>
      <c r="AH85" s="32"/>
      <c r="AI85" s="33"/>
      <c r="AJ85" s="36"/>
      <c r="AK85" s="89"/>
      <c r="AL85" s="32"/>
      <c r="AM85" s="33"/>
      <c r="AN85" s="36"/>
      <c r="AO85" s="89"/>
      <c r="AP85" s="32"/>
      <c r="AQ85" s="33"/>
      <c r="AR85" s="36"/>
      <c r="AS85" s="89"/>
      <c r="AT85" s="37">
        <f t="shared" si="7"/>
        <v>501</v>
      </c>
      <c r="AU85" s="38">
        <f t="shared" si="8"/>
        <v>501</v>
      </c>
    </row>
    <row r="86" spans="2:47" s="26" customFormat="1" ht="22.5" x14ac:dyDescent="0.25">
      <c r="B86" s="27">
        <v>74</v>
      </c>
      <c r="C86" s="27" t="s">
        <v>514</v>
      </c>
      <c r="D86" s="50">
        <v>40009262</v>
      </c>
      <c r="E86" s="29" t="s">
        <v>1738</v>
      </c>
      <c r="F86" s="29" t="s">
        <v>54</v>
      </c>
      <c r="G86" s="30" t="s">
        <v>1645</v>
      </c>
      <c r="H86" s="42" t="s">
        <v>1693</v>
      </c>
      <c r="I86" s="88" t="s">
        <v>57</v>
      </c>
      <c r="J86" s="406">
        <v>572999</v>
      </c>
      <c r="K86" s="31">
        <v>560782</v>
      </c>
      <c r="L86" s="31">
        <f t="shared" si="6"/>
        <v>12217</v>
      </c>
      <c r="M86" s="31">
        <v>0</v>
      </c>
      <c r="N86" s="31">
        <v>0</v>
      </c>
      <c r="O86" s="31">
        <v>0</v>
      </c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si="5"/>
        <v>0</v>
      </c>
      <c r="Z86" s="32">
        <v>12217</v>
      </c>
      <c r="AA86" s="33">
        <v>6</v>
      </c>
      <c r="AB86" s="34">
        <v>44215</v>
      </c>
      <c r="AC86" s="90">
        <v>44228</v>
      </c>
      <c r="AD86" s="32"/>
      <c r="AE86" s="35"/>
      <c r="AF86" s="36"/>
      <c r="AG86" s="89"/>
      <c r="AH86" s="32"/>
      <c r="AI86" s="33"/>
      <c r="AJ86" s="36"/>
      <c r="AK86" s="89"/>
      <c r="AL86" s="32"/>
      <c r="AM86" s="33"/>
      <c r="AN86" s="36"/>
      <c r="AO86" s="89"/>
      <c r="AP86" s="32"/>
      <c r="AQ86" s="33"/>
      <c r="AR86" s="36"/>
      <c r="AS86" s="89"/>
      <c r="AT86" s="37">
        <f t="shared" si="7"/>
        <v>12217</v>
      </c>
      <c r="AU86" s="38">
        <f t="shared" si="8"/>
        <v>12217</v>
      </c>
    </row>
    <row r="87" spans="2:47" s="26" customFormat="1" ht="22.5" x14ac:dyDescent="0.25">
      <c r="B87" s="27">
        <v>75</v>
      </c>
      <c r="C87" s="27" t="s">
        <v>514</v>
      </c>
      <c r="D87" s="50">
        <v>40009326</v>
      </c>
      <c r="E87" s="29" t="s">
        <v>1739</v>
      </c>
      <c r="F87" s="29" t="s">
        <v>60</v>
      </c>
      <c r="G87" s="30" t="s">
        <v>1645</v>
      </c>
      <c r="H87" s="42" t="s">
        <v>1648</v>
      </c>
      <c r="I87" s="88" t="s">
        <v>72</v>
      </c>
      <c r="J87" s="406">
        <v>85105</v>
      </c>
      <c r="K87" s="31">
        <v>0</v>
      </c>
      <c r="L87" s="31">
        <f t="shared" si="6"/>
        <v>85105</v>
      </c>
      <c r="M87" s="31">
        <v>0</v>
      </c>
      <c r="N87" s="31">
        <v>0</v>
      </c>
      <c r="O87" s="31">
        <v>0</v>
      </c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5"/>
        <v>0</v>
      </c>
      <c r="Z87" s="32">
        <v>944</v>
      </c>
      <c r="AA87" s="33">
        <v>6</v>
      </c>
      <c r="AB87" s="34">
        <v>44215</v>
      </c>
      <c r="AC87" s="90">
        <v>44228</v>
      </c>
      <c r="AD87" s="32"/>
      <c r="AE87" s="35"/>
      <c r="AF87" s="36"/>
      <c r="AG87" s="89"/>
      <c r="AH87" s="32"/>
      <c r="AI87" s="33"/>
      <c r="AJ87" s="36"/>
      <c r="AK87" s="89"/>
      <c r="AL87" s="32"/>
      <c r="AM87" s="33"/>
      <c r="AN87" s="36"/>
      <c r="AO87" s="89"/>
      <c r="AP87" s="32"/>
      <c r="AQ87" s="33"/>
      <c r="AR87" s="36"/>
      <c r="AS87" s="89"/>
      <c r="AT87" s="37">
        <f t="shared" si="7"/>
        <v>944</v>
      </c>
      <c r="AU87" s="38">
        <f t="shared" si="8"/>
        <v>944</v>
      </c>
    </row>
    <row r="88" spans="2:47" s="26" customFormat="1" ht="22.5" x14ac:dyDescent="0.25">
      <c r="B88" s="27">
        <v>76</v>
      </c>
      <c r="C88" s="27" t="s">
        <v>514</v>
      </c>
      <c r="D88" s="50">
        <v>40009501</v>
      </c>
      <c r="E88" s="29" t="s">
        <v>1740</v>
      </c>
      <c r="F88" s="29" t="s">
        <v>54</v>
      </c>
      <c r="G88" s="30" t="s">
        <v>1645</v>
      </c>
      <c r="H88" s="42" t="s">
        <v>1702</v>
      </c>
      <c r="I88" s="88" t="s">
        <v>57</v>
      </c>
      <c r="J88" s="406">
        <v>1430491</v>
      </c>
      <c r="K88" s="31">
        <v>1357902</v>
      </c>
      <c r="L88" s="31">
        <f t="shared" si="6"/>
        <v>72589</v>
      </c>
      <c r="M88" s="31">
        <v>0</v>
      </c>
      <c r="N88" s="31">
        <v>0</v>
      </c>
      <c r="O88" s="31">
        <v>64822</v>
      </c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5"/>
        <v>64822</v>
      </c>
      <c r="Z88" s="32">
        <v>72589</v>
      </c>
      <c r="AA88" s="33">
        <v>6</v>
      </c>
      <c r="AB88" s="34">
        <v>44215</v>
      </c>
      <c r="AC88" s="90">
        <v>44228</v>
      </c>
      <c r="AD88" s="32"/>
      <c r="AE88" s="35"/>
      <c r="AF88" s="36"/>
      <c r="AG88" s="89"/>
      <c r="AH88" s="32"/>
      <c r="AI88" s="33"/>
      <c r="AJ88" s="36"/>
      <c r="AK88" s="89"/>
      <c r="AL88" s="32"/>
      <c r="AM88" s="33"/>
      <c r="AN88" s="36"/>
      <c r="AO88" s="89"/>
      <c r="AP88" s="32"/>
      <c r="AQ88" s="33"/>
      <c r="AR88" s="36"/>
      <c r="AS88" s="89"/>
      <c r="AT88" s="37">
        <f t="shared" si="7"/>
        <v>72589</v>
      </c>
      <c r="AU88" s="38">
        <f t="shared" si="8"/>
        <v>7767</v>
      </c>
    </row>
    <row r="89" spans="2:47" s="26" customFormat="1" ht="22.5" x14ac:dyDescent="0.25">
      <c r="B89" s="27">
        <v>77</v>
      </c>
      <c r="C89" s="27" t="s">
        <v>514</v>
      </c>
      <c r="D89" s="50">
        <v>40009593</v>
      </c>
      <c r="E89" s="29" t="s">
        <v>1741</v>
      </c>
      <c r="F89" s="29" t="s">
        <v>54</v>
      </c>
      <c r="G89" s="30" t="s">
        <v>1645</v>
      </c>
      <c r="H89" s="42" t="s">
        <v>1702</v>
      </c>
      <c r="I89" s="88" t="s">
        <v>57</v>
      </c>
      <c r="J89" s="406">
        <v>984876</v>
      </c>
      <c r="K89" s="31">
        <v>652490</v>
      </c>
      <c r="L89" s="31">
        <f t="shared" si="6"/>
        <v>332386</v>
      </c>
      <c r="M89" s="31">
        <v>0</v>
      </c>
      <c r="N89" s="31">
        <v>0</v>
      </c>
      <c r="O89" s="31">
        <v>182048</v>
      </c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5"/>
        <v>182048</v>
      </c>
      <c r="Z89" s="32">
        <v>332387</v>
      </c>
      <c r="AA89" s="33">
        <v>6</v>
      </c>
      <c r="AB89" s="34">
        <v>44215</v>
      </c>
      <c r="AC89" s="90">
        <v>44228</v>
      </c>
      <c r="AD89" s="32"/>
      <c r="AE89" s="35"/>
      <c r="AF89" s="36"/>
      <c r="AG89" s="89"/>
      <c r="AH89" s="32"/>
      <c r="AI89" s="33"/>
      <c r="AJ89" s="36"/>
      <c r="AK89" s="89"/>
      <c r="AL89" s="32"/>
      <c r="AM89" s="33"/>
      <c r="AN89" s="36"/>
      <c r="AO89" s="89"/>
      <c r="AP89" s="32"/>
      <c r="AQ89" s="33"/>
      <c r="AR89" s="36"/>
      <c r="AS89" s="89"/>
      <c r="AT89" s="37">
        <f t="shared" si="7"/>
        <v>332387</v>
      </c>
      <c r="AU89" s="38">
        <f t="shared" si="8"/>
        <v>150339</v>
      </c>
    </row>
    <row r="90" spans="2:47" s="26" customFormat="1" ht="22.5" x14ac:dyDescent="0.25">
      <c r="B90" s="27">
        <v>78</v>
      </c>
      <c r="C90" s="27" t="s">
        <v>514</v>
      </c>
      <c r="D90" s="50">
        <v>40010601</v>
      </c>
      <c r="E90" s="29" t="s">
        <v>1742</v>
      </c>
      <c r="F90" s="29" t="s">
        <v>54</v>
      </c>
      <c r="G90" s="30" t="s">
        <v>1645</v>
      </c>
      <c r="H90" s="42" t="s">
        <v>1705</v>
      </c>
      <c r="I90" s="88" t="s">
        <v>72</v>
      </c>
      <c r="J90" s="406">
        <v>117611</v>
      </c>
      <c r="K90" s="31">
        <v>0</v>
      </c>
      <c r="L90" s="31">
        <f t="shared" si="6"/>
        <v>117611</v>
      </c>
      <c r="M90" s="31">
        <v>0</v>
      </c>
      <c r="N90" s="31">
        <v>0</v>
      </c>
      <c r="O90" s="31">
        <v>0</v>
      </c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5"/>
        <v>0</v>
      </c>
      <c r="Z90" s="32">
        <v>117611</v>
      </c>
      <c r="AA90" s="33">
        <v>6</v>
      </c>
      <c r="AB90" s="34">
        <v>44215</v>
      </c>
      <c r="AC90" s="90">
        <v>44228</v>
      </c>
      <c r="AD90" s="32"/>
      <c r="AE90" s="35"/>
      <c r="AF90" s="36"/>
      <c r="AG90" s="89"/>
      <c r="AH90" s="32"/>
      <c r="AI90" s="33"/>
      <c r="AJ90" s="36"/>
      <c r="AK90" s="89"/>
      <c r="AL90" s="32"/>
      <c r="AM90" s="33"/>
      <c r="AN90" s="36"/>
      <c r="AO90" s="89"/>
      <c r="AP90" s="32"/>
      <c r="AQ90" s="33"/>
      <c r="AR90" s="36"/>
      <c r="AS90" s="89"/>
      <c r="AT90" s="37">
        <f t="shared" si="7"/>
        <v>117611</v>
      </c>
      <c r="AU90" s="38">
        <f t="shared" si="8"/>
        <v>117611</v>
      </c>
    </row>
    <row r="91" spans="2:47" s="26" customFormat="1" ht="22.5" x14ac:dyDescent="0.25">
      <c r="B91" s="27">
        <v>79</v>
      </c>
      <c r="C91" s="27" t="s">
        <v>514</v>
      </c>
      <c r="D91" s="50">
        <v>40010956</v>
      </c>
      <c r="E91" s="29" t="s">
        <v>1743</v>
      </c>
      <c r="F91" s="29" t="s">
        <v>54</v>
      </c>
      <c r="G91" s="30" t="s">
        <v>1645</v>
      </c>
      <c r="H91" s="42" t="s">
        <v>1685</v>
      </c>
      <c r="I91" s="88" t="s">
        <v>72</v>
      </c>
      <c r="J91" s="406">
        <v>802821</v>
      </c>
      <c r="K91" s="31">
        <v>0</v>
      </c>
      <c r="L91" s="31">
        <f t="shared" si="6"/>
        <v>802821</v>
      </c>
      <c r="M91" s="31">
        <v>0</v>
      </c>
      <c r="N91" s="31">
        <v>0</v>
      </c>
      <c r="O91" s="31">
        <v>0</v>
      </c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5"/>
        <v>0</v>
      </c>
      <c r="Z91" s="32">
        <v>2</v>
      </c>
      <c r="AA91" s="33">
        <v>6</v>
      </c>
      <c r="AB91" s="34">
        <v>44215</v>
      </c>
      <c r="AC91" s="90">
        <v>44228</v>
      </c>
      <c r="AD91" s="32"/>
      <c r="AE91" s="35"/>
      <c r="AF91" s="36"/>
      <c r="AG91" s="89"/>
      <c r="AH91" s="32"/>
      <c r="AI91" s="33"/>
      <c r="AJ91" s="36"/>
      <c r="AK91" s="89"/>
      <c r="AL91" s="32"/>
      <c r="AM91" s="33"/>
      <c r="AN91" s="36"/>
      <c r="AO91" s="89"/>
      <c r="AP91" s="32"/>
      <c r="AQ91" s="33"/>
      <c r="AR91" s="36"/>
      <c r="AS91" s="89"/>
      <c r="AT91" s="37">
        <f t="shared" si="7"/>
        <v>2</v>
      </c>
      <c r="AU91" s="38">
        <f t="shared" si="8"/>
        <v>2</v>
      </c>
    </row>
    <row r="92" spans="2:47" s="26" customFormat="1" ht="33.75" x14ac:dyDescent="0.25">
      <c r="B92" s="27">
        <v>80</v>
      </c>
      <c r="C92" s="27" t="s">
        <v>514</v>
      </c>
      <c r="D92" s="50">
        <v>40011115</v>
      </c>
      <c r="E92" s="29" t="s">
        <v>1744</v>
      </c>
      <c r="F92" s="29" t="s">
        <v>54</v>
      </c>
      <c r="G92" s="30" t="s">
        <v>1645</v>
      </c>
      <c r="H92" s="42" t="s">
        <v>93</v>
      </c>
      <c r="I92" s="88" t="s">
        <v>72</v>
      </c>
      <c r="J92" s="406">
        <v>2423250</v>
      </c>
      <c r="K92" s="31">
        <v>0</v>
      </c>
      <c r="L92" s="31">
        <f t="shared" si="6"/>
        <v>2423250</v>
      </c>
      <c r="M92" s="31">
        <v>0</v>
      </c>
      <c r="N92" s="31">
        <v>0</v>
      </c>
      <c r="O92" s="31">
        <v>0</v>
      </c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5"/>
        <v>0</v>
      </c>
      <c r="Z92" s="32">
        <v>4845</v>
      </c>
      <c r="AA92" s="33">
        <v>6</v>
      </c>
      <c r="AB92" s="34">
        <v>44215</v>
      </c>
      <c r="AC92" s="90">
        <v>44228</v>
      </c>
      <c r="AD92" s="32"/>
      <c r="AE92" s="35"/>
      <c r="AF92" s="36"/>
      <c r="AG92" s="89"/>
      <c r="AH92" s="32"/>
      <c r="AI92" s="33"/>
      <c r="AJ92" s="36"/>
      <c r="AK92" s="89"/>
      <c r="AL92" s="32"/>
      <c r="AM92" s="33"/>
      <c r="AN92" s="36"/>
      <c r="AO92" s="89"/>
      <c r="AP92" s="32"/>
      <c r="AQ92" s="33"/>
      <c r="AR92" s="36"/>
      <c r="AS92" s="89"/>
      <c r="AT92" s="37">
        <f t="shared" si="7"/>
        <v>4845</v>
      </c>
      <c r="AU92" s="38">
        <f t="shared" si="8"/>
        <v>4845</v>
      </c>
    </row>
    <row r="93" spans="2:47" s="26" customFormat="1" ht="22.5" x14ac:dyDescent="0.25">
      <c r="B93" s="27">
        <v>81</v>
      </c>
      <c r="C93" s="27" t="s">
        <v>514</v>
      </c>
      <c r="D93" s="50">
        <v>40011749</v>
      </c>
      <c r="E93" s="29" t="s">
        <v>1745</v>
      </c>
      <c r="F93" s="29" t="s">
        <v>54</v>
      </c>
      <c r="G93" s="30" t="s">
        <v>1645</v>
      </c>
      <c r="H93" s="42" t="s">
        <v>1646</v>
      </c>
      <c r="I93" s="88" t="s">
        <v>57</v>
      </c>
      <c r="J93" s="406">
        <v>317714</v>
      </c>
      <c r="K93" s="31">
        <v>0</v>
      </c>
      <c r="L93" s="31">
        <f t="shared" si="6"/>
        <v>317714</v>
      </c>
      <c r="M93" s="31">
        <v>0</v>
      </c>
      <c r="N93" s="31">
        <v>0</v>
      </c>
      <c r="O93" s="31">
        <v>0</v>
      </c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5"/>
        <v>0</v>
      </c>
      <c r="Z93" s="32">
        <v>317714</v>
      </c>
      <c r="AA93" s="33">
        <v>6</v>
      </c>
      <c r="AB93" s="34">
        <v>44215</v>
      </c>
      <c r="AC93" s="90">
        <v>44228</v>
      </c>
      <c r="AD93" s="32"/>
      <c r="AE93" s="35"/>
      <c r="AF93" s="36"/>
      <c r="AG93" s="89"/>
      <c r="AH93" s="32"/>
      <c r="AI93" s="33"/>
      <c r="AJ93" s="36"/>
      <c r="AK93" s="89"/>
      <c r="AL93" s="32"/>
      <c r="AM93" s="33"/>
      <c r="AN93" s="36"/>
      <c r="AO93" s="89"/>
      <c r="AP93" s="32"/>
      <c r="AQ93" s="33"/>
      <c r="AR93" s="36"/>
      <c r="AS93" s="89"/>
      <c r="AT93" s="37">
        <f t="shared" si="7"/>
        <v>317714</v>
      </c>
      <c r="AU93" s="38">
        <f t="shared" si="8"/>
        <v>317714</v>
      </c>
    </row>
    <row r="94" spans="2:47" s="26" customFormat="1" ht="22.5" x14ac:dyDescent="0.25">
      <c r="B94" s="27">
        <v>82</v>
      </c>
      <c r="C94" s="27" t="s">
        <v>514</v>
      </c>
      <c r="D94" s="50">
        <v>40013084</v>
      </c>
      <c r="E94" s="29" t="s">
        <v>1746</v>
      </c>
      <c r="F94" s="29" t="s">
        <v>54</v>
      </c>
      <c r="G94" s="30" t="s">
        <v>1645</v>
      </c>
      <c r="H94" s="42" t="s">
        <v>1648</v>
      </c>
      <c r="I94" s="88" t="s">
        <v>57</v>
      </c>
      <c r="J94" s="406">
        <v>1032801</v>
      </c>
      <c r="K94" s="31">
        <v>151442</v>
      </c>
      <c r="L94" s="31">
        <f t="shared" si="6"/>
        <v>881359</v>
      </c>
      <c r="M94" s="31">
        <v>0</v>
      </c>
      <c r="N94" s="31">
        <v>146006</v>
      </c>
      <c r="O94" s="31">
        <v>0</v>
      </c>
      <c r="P94" s="31"/>
      <c r="Q94" s="31"/>
      <c r="R94" s="31"/>
      <c r="S94" s="31"/>
      <c r="T94" s="31"/>
      <c r="U94" s="31"/>
      <c r="V94" s="31"/>
      <c r="W94" s="31"/>
      <c r="X94" s="31"/>
      <c r="Y94" s="31">
        <f t="shared" si="5"/>
        <v>146006</v>
      </c>
      <c r="Z94" s="32">
        <v>881360</v>
      </c>
      <c r="AA94" s="33">
        <v>6</v>
      </c>
      <c r="AB94" s="34">
        <v>44215</v>
      </c>
      <c r="AC94" s="90">
        <v>44228</v>
      </c>
      <c r="AD94" s="32"/>
      <c r="AE94" s="35"/>
      <c r="AF94" s="36"/>
      <c r="AG94" s="89"/>
      <c r="AH94" s="32"/>
      <c r="AI94" s="33"/>
      <c r="AJ94" s="36"/>
      <c r="AK94" s="89"/>
      <c r="AL94" s="32"/>
      <c r="AM94" s="33"/>
      <c r="AN94" s="36"/>
      <c r="AO94" s="89"/>
      <c r="AP94" s="32"/>
      <c r="AQ94" s="33"/>
      <c r="AR94" s="36"/>
      <c r="AS94" s="89"/>
      <c r="AT94" s="37">
        <f t="shared" si="7"/>
        <v>881360</v>
      </c>
      <c r="AU94" s="38">
        <f t="shared" si="8"/>
        <v>735354</v>
      </c>
    </row>
    <row r="95" spans="2:47" s="26" customFormat="1" ht="22.5" x14ac:dyDescent="0.25">
      <c r="B95" s="27">
        <v>83</v>
      </c>
      <c r="C95" s="27" t="s">
        <v>514</v>
      </c>
      <c r="D95" s="50">
        <v>40013605</v>
      </c>
      <c r="E95" s="29" t="s">
        <v>1747</v>
      </c>
      <c r="F95" s="29" t="s">
        <v>54</v>
      </c>
      <c r="G95" s="30" t="s">
        <v>1645</v>
      </c>
      <c r="H95" s="42" t="s">
        <v>1681</v>
      </c>
      <c r="I95" s="88" t="s">
        <v>72</v>
      </c>
      <c r="J95" s="406">
        <v>324249</v>
      </c>
      <c r="K95" s="31">
        <v>0</v>
      </c>
      <c r="L95" s="31">
        <f t="shared" si="6"/>
        <v>324249</v>
      </c>
      <c r="M95" s="31">
        <v>0</v>
      </c>
      <c r="N95" s="31">
        <v>0</v>
      </c>
      <c r="O95" s="31">
        <v>1186</v>
      </c>
      <c r="P95" s="31"/>
      <c r="Q95" s="31"/>
      <c r="R95" s="31"/>
      <c r="S95" s="31"/>
      <c r="T95" s="31"/>
      <c r="U95" s="31"/>
      <c r="V95" s="31"/>
      <c r="W95" s="31"/>
      <c r="X95" s="31"/>
      <c r="Y95" s="31">
        <f t="shared" si="5"/>
        <v>1186</v>
      </c>
      <c r="Z95" s="32">
        <v>324249</v>
      </c>
      <c r="AA95" s="33">
        <v>6</v>
      </c>
      <c r="AB95" s="34">
        <v>44215</v>
      </c>
      <c r="AC95" s="90">
        <v>44228</v>
      </c>
      <c r="AD95" s="32"/>
      <c r="AE95" s="35"/>
      <c r="AF95" s="36"/>
      <c r="AG95" s="89"/>
      <c r="AH95" s="32"/>
      <c r="AI95" s="33"/>
      <c r="AJ95" s="36"/>
      <c r="AK95" s="89"/>
      <c r="AL95" s="32"/>
      <c r="AM95" s="33"/>
      <c r="AN95" s="36"/>
      <c r="AO95" s="89"/>
      <c r="AP95" s="32"/>
      <c r="AQ95" s="33"/>
      <c r="AR95" s="36"/>
      <c r="AS95" s="89"/>
      <c r="AT95" s="37">
        <f t="shared" si="7"/>
        <v>324249</v>
      </c>
      <c r="AU95" s="38">
        <f t="shared" si="8"/>
        <v>323063</v>
      </c>
    </row>
    <row r="96" spans="2:47" s="26" customFormat="1" ht="22.5" x14ac:dyDescent="0.25">
      <c r="B96" s="27">
        <v>84</v>
      </c>
      <c r="C96" s="27" t="s">
        <v>514</v>
      </c>
      <c r="D96" s="50">
        <v>40015283</v>
      </c>
      <c r="E96" s="29" t="s">
        <v>1748</v>
      </c>
      <c r="F96" s="29" t="s">
        <v>54</v>
      </c>
      <c r="G96" s="30" t="s">
        <v>1645</v>
      </c>
      <c r="H96" s="42" t="s">
        <v>1648</v>
      </c>
      <c r="I96" s="88" t="s">
        <v>57</v>
      </c>
      <c r="J96" s="406">
        <v>559996</v>
      </c>
      <c r="K96" s="31">
        <v>0</v>
      </c>
      <c r="L96" s="31">
        <f t="shared" si="6"/>
        <v>559996</v>
      </c>
      <c r="M96" s="31">
        <v>0</v>
      </c>
      <c r="N96" s="31">
        <v>0</v>
      </c>
      <c r="O96" s="31">
        <v>117853</v>
      </c>
      <c r="P96" s="31"/>
      <c r="Q96" s="31"/>
      <c r="R96" s="31"/>
      <c r="S96" s="31"/>
      <c r="T96" s="31"/>
      <c r="U96" s="31"/>
      <c r="V96" s="31"/>
      <c r="W96" s="31"/>
      <c r="X96" s="31"/>
      <c r="Y96" s="31">
        <f t="shared" si="5"/>
        <v>117853</v>
      </c>
      <c r="Z96" s="32">
        <v>559996</v>
      </c>
      <c r="AA96" s="33">
        <v>6</v>
      </c>
      <c r="AB96" s="34">
        <v>44215</v>
      </c>
      <c r="AC96" s="90">
        <v>44228</v>
      </c>
      <c r="AD96" s="32"/>
      <c r="AE96" s="35"/>
      <c r="AF96" s="36"/>
      <c r="AG96" s="89"/>
      <c r="AH96" s="32"/>
      <c r="AI96" s="33"/>
      <c r="AJ96" s="36"/>
      <c r="AK96" s="89"/>
      <c r="AL96" s="32"/>
      <c r="AM96" s="33"/>
      <c r="AN96" s="36"/>
      <c r="AO96" s="89"/>
      <c r="AP96" s="32"/>
      <c r="AQ96" s="33"/>
      <c r="AR96" s="36"/>
      <c r="AS96" s="89"/>
      <c r="AT96" s="37">
        <f t="shared" si="7"/>
        <v>559996</v>
      </c>
      <c r="AU96" s="38">
        <f t="shared" si="8"/>
        <v>442143</v>
      </c>
    </row>
    <row r="97" spans="2:47" s="26" customFormat="1" ht="22.5" x14ac:dyDescent="0.25">
      <c r="B97" s="27">
        <v>85</v>
      </c>
      <c r="C97" s="27" t="s">
        <v>514</v>
      </c>
      <c r="D97" s="50">
        <v>40015322</v>
      </c>
      <c r="E97" s="29" t="s">
        <v>1749</v>
      </c>
      <c r="F97" s="29" t="s">
        <v>54</v>
      </c>
      <c r="G97" s="30" t="s">
        <v>1645</v>
      </c>
      <c r="H97" s="42" t="s">
        <v>1750</v>
      </c>
      <c r="I97" s="88" t="s">
        <v>72</v>
      </c>
      <c r="J97" s="406">
        <v>185390</v>
      </c>
      <c r="K97" s="31">
        <v>0</v>
      </c>
      <c r="L97" s="31">
        <f t="shared" si="6"/>
        <v>185390</v>
      </c>
      <c r="M97" s="31">
        <v>0</v>
      </c>
      <c r="N97" s="31">
        <v>0</v>
      </c>
      <c r="O97" s="31">
        <v>0</v>
      </c>
      <c r="P97" s="31"/>
      <c r="Q97" s="31"/>
      <c r="R97" s="31"/>
      <c r="S97" s="31"/>
      <c r="T97" s="31"/>
      <c r="U97" s="31"/>
      <c r="V97" s="31"/>
      <c r="W97" s="31"/>
      <c r="X97" s="31"/>
      <c r="Y97" s="31">
        <f t="shared" si="5"/>
        <v>0</v>
      </c>
      <c r="Z97" s="32">
        <v>185390</v>
      </c>
      <c r="AA97" s="33">
        <v>6</v>
      </c>
      <c r="AB97" s="34">
        <v>44215</v>
      </c>
      <c r="AC97" s="90">
        <v>44228</v>
      </c>
      <c r="AD97" s="32"/>
      <c r="AE97" s="35"/>
      <c r="AF97" s="36"/>
      <c r="AG97" s="89"/>
      <c r="AH97" s="32"/>
      <c r="AI97" s="33"/>
      <c r="AJ97" s="36"/>
      <c r="AK97" s="89"/>
      <c r="AL97" s="32"/>
      <c r="AM97" s="33"/>
      <c r="AN97" s="36"/>
      <c r="AO97" s="89"/>
      <c r="AP97" s="32"/>
      <c r="AQ97" s="33"/>
      <c r="AR97" s="36"/>
      <c r="AS97" s="89"/>
      <c r="AT97" s="37">
        <f t="shared" si="7"/>
        <v>185390</v>
      </c>
      <c r="AU97" s="38">
        <f t="shared" si="8"/>
        <v>185390</v>
      </c>
    </row>
    <row r="98" spans="2:47" s="26" customFormat="1" ht="22.5" x14ac:dyDescent="0.25">
      <c r="B98" s="27">
        <v>86</v>
      </c>
      <c r="C98" s="27" t="s">
        <v>514</v>
      </c>
      <c r="D98" s="50">
        <v>40016154</v>
      </c>
      <c r="E98" s="29" t="s">
        <v>1751</v>
      </c>
      <c r="F98" s="29" t="s">
        <v>54</v>
      </c>
      <c r="G98" s="30" t="s">
        <v>1645</v>
      </c>
      <c r="H98" s="42" t="s">
        <v>1750</v>
      </c>
      <c r="I98" s="88" t="s">
        <v>72</v>
      </c>
      <c r="J98" s="406">
        <v>510330</v>
      </c>
      <c r="K98" s="31">
        <v>0</v>
      </c>
      <c r="L98" s="31">
        <f t="shared" si="6"/>
        <v>510330</v>
      </c>
      <c r="M98" s="31">
        <v>0</v>
      </c>
      <c r="N98" s="31">
        <v>0</v>
      </c>
      <c r="O98" s="31">
        <v>0</v>
      </c>
      <c r="P98" s="31"/>
      <c r="Q98" s="31"/>
      <c r="R98" s="31"/>
      <c r="S98" s="31"/>
      <c r="T98" s="31"/>
      <c r="U98" s="31"/>
      <c r="V98" s="31"/>
      <c r="W98" s="31"/>
      <c r="X98" s="31"/>
      <c r="Y98" s="31">
        <f t="shared" si="5"/>
        <v>0</v>
      </c>
      <c r="Z98" s="32">
        <v>2</v>
      </c>
      <c r="AA98" s="33">
        <v>6</v>
      </c>
      <c r="AB98" s="34">
        <v>44215</v>
      </c>
      <c r="AC98" s="90">
        <v>44228</v>
      </c>
      <c r="AD98" s="32"/>
      <c r="AE98" s="35"/>
      <c r="AF98" s="36"/>
      <c r="AG98" s="89"/>
      <c r="AH98" s="32"/>
      <c r="AI98" s="33"/>
      <c r="AJ98" s="36"/>
      <c r="AK98" s="89"/>
      <c r="AL98" s="32"/>
      <c r="AM98" s="33"/>
      <c r="AN98" s="36"/>
      <c r="AO98" s="89"/>
      <c r="AP98" s="32"/>
      <c r="AQ98" s="33"/>
      <c r="AR98" s="36"/>
      <c r="AS98" s="89"/>
      <c r="AT98" s="37">
        <f t="shared" si="7"/>
        <v>2</v>
      </c>
      <c r="AU98" s="38">
        <f t="shared" si="8"/>
        <v>2</v>
      </c>
    </row>
    <row r="99" spans="2:47" s="26" customFormat="1" ht="22.5" x14ac:dyDescent="0.25">
      <c r="B99" s="27">
        <v>87</v>
      </c>
      <c r="C99" s="27" t="s">
        <v>514</v>
      </c>
      <c r="D99" s="50">
        <v>40016375</v>
      </c>
      <c r="E99" s="29" t="s">
        <v>1752</v>
      </c>
      <c r="F99" s="29" t="s">
        <v>54</v>
      </c>
      <c r="G99" s="30" t="s">
        <v>1645</v>
      </c>
      <c r="H99" s="42" t="s">
        <v>1652</v>
      </c>
      <c r="I99" s="88" t="s">
        <v>57</v>
      </c>
      <c r="J99" s="406">
        <v>2570975</v>
      </c>
      <c r="K99" s="31">
        <v>2317779</v>
      </c>
      <c r="L99" s="31">
        <f t="shared" si="6"/>
        <v>253196</v>
      </c>
      <c r="M99" s="31">
        <v>0</v>
      </c>
      <c r="N99" s="31">
        <v>206084</v>
      </c>
      <c r="O99" s="31">
        <v>0</v>
      </c>
      <c r="P99" s="31"/>
      <c r="Q99" s="31"/>
      <c r="R99" s="31"/>
      <c r="S99" s="31"/>
      <c r="T99" s="31"/>
      <c r="U99" s="31"/>
      <c r="V99" s="31"/>
      <c r="W99" s="31"/>
      <c r="X99" s="31"/>
      <c r="Y99" s="31">
        <f t="shared" si="5"/>
        <v>206084</v>
      </c>
      <c r="Z99" s="32">
        <v>253198</v>
      </c>
      <c r="AA99" s="33">
        <v>6</v>
      </c>
      <c r="AB99" s="34">
        <v>44215</v>
      </c>
      <c r="AC99" s="90">
        <v>44228</v>
      </c>
      <c r="AD99" s="32"/>
      <c r="AE99" s="35"/>
      <c r="AF99" s="36"/>
      <c r="AG99" s="89"/>
      <c r="AH99" s="32"/>
      <c r="AI99" s="33"/>
      <c r="AJ99" s="36"/>
      <c r="AK99" s="89"/>
      <c r="AL99" s="32"/>
      <c r="AM99" s="33"/>
      <c r="AN99" s="36"/>
      <c r="AO99" s="89"/>
      <c r="AP99" s="32"/>
      <c r="AQ99" s="33"/>
      <c r="AR99" s="36"/>
      <c r="AS99" s="89"/>
      <c r="AT99" s="37">
        <f t="shared" si="7"/>
        <v>253198</v>
      </c>
      <c r="AU99" s="38">
        <f t="shared" si="8"/>
        <v>47114</v>
      </c>
    </row>
    <row r="100" spans="2:47" s="26" customFormat="1" ht="22.5" x14ac:dyDescent="0.25">
      <c r="B100" s="27">
        <v>88</v>
      </c>
      <c r="C100" s="27" t="s">
        <v>514</v>
      </c>
      <c r="D100" s="50">
        <v>40016742</v>
      </c>
      <c r="E100" s="29" t="s">
        <v>1753</v>
      </c>
      <c r="F100" s="29" t="s">
        <v>54</v>
      </c>
      <c r="G100" s="30" t="s">
        <v>1645</v>
      </c>
      <c r="H100" s="42" t="s">
        <v>1670</v>
      </c>
      <c r="I100" s="88" t="s">
        <v>72</v>
      </c>
      <c r="J100" s="406">
        <v>166443</v>
      </c>
      <c r="K100" s="31">
        <v>0</v>
      </c>
      <c r="L100" s="31">
        <f t="shared" si="6"/>
        <v>166443</v>
      </c>
      <c r="M100" s="31">
        <v>0</v>
      </c>
      <c r="N100" s="31">
        <v>0</v>
      </c>
      <c r="O100" s="31">
        <v>0</v>
      </c>
      <c r="P100" s="31"/>
      <c r="Q100" s="31"/>
      <c r="R100" s="31"/>
      <c r="S100" s="31"/>
      <c r="T100" s="31"/>
      <c r="U100" s="31"/>
      <c r="V100" s="31"/>
      <c r="W100" s="31"/>
      <c r="X100" s="31"/>
      <c r="Y100" s="31">
        <f t="shared" si="5"/>
        <v>0</v>
      </c>
      <c r="Z100" s="32">
        <v>166443</v>
      </c>
      <c r="AA100" s="33">
        <v>6</v>
      </c>
      <c r="AB100" s="34">
        <v>44215</v>
      </c>
      <c r="AC100" s="90">
        <v>44228</v>
      </c>
      <c r="AD100" s="32"/>
      <c r="AE100" s="35"/>
      <c r="AF100" s="36"/>
      <c r="AG100" s="89"/>
      <c r="AH100" s="32"/>
      <c r="AI100" s="33"/>
      <c r="AJ100" s="36"/>
      <c r="AK100" s="89"/>
      <c r="AL100" s="32"/>
      <c r="AM100" s="33"/>
      <c r="AN100" s="36"/>
      <c r="AO100" s="89"/>
      <c r="AP100" s="32"/>
      <c r="AQ100" s="33"/>
      <c r="AR100" s="36"/>
      <c r="AS100" s="89"/>
      <c r="AT100" s="37">
        <f t="shared" si="7"/>
        <v>166443</v>
      </c>
      <c r="AU100" s="38">
        <f t="shared" si="8"/>
        <v>166443</v>
      </c>
    </row>
    <row r="101" spans="2:47" s="26" customFormat="1" ht="22.5" x14ac:dyDescent="0.25">
      <c r="B101" s="27">
        <v>89</v>
      </c>
      <c r="C101" s="27" t="s">
        <v>514</v>
      </c>
      <c r="D101" s="50">
        <v>40016955</v>
      </c>
      <c r="E101" s="29" t="s">
        <v>1754</v>
      </c>
      <c r="F101" s="29" t="s">
        <v>54</v>
      </c>
      <c r="G101" s="30" t="s">
        <v>1645</v>
      </c>
      <c r="H101" s="42" t="s">
        <v>1648</v>
      </c>
      <c r="I101" s="88" t="s">
        <v>72</v>
      </c>
      <c r="J101" s="406">
        <v>485514</v>
      </c>
      <c r="K101" s="31">
        <v>0</v>
      </c>
      <c r="L101" s="31">
        <f t="shared" si="6"/>
        <v>485514</v>
      </c>
      <c r="M101" s="31">
        <v>0</v>
      </c>
      <c r="N101" s="31">
        <v>0</v>
      </c>
      <c r="O101" s="31">
        <v>0</v>
      </c>
      <c r="P101" s="31"/>
      <c r="Q101" s="31"/>
      <c r="R101" s="31"/>
      <c r="S101" s="31"/>
      <c r="T101" s="31"/>
      <c r="U101" s="31"/>
      <c r="V101" s="31"/>
      <c r="W101" s="31"/>
      <c r="X101" s="31"/>
      <c r="Y101" s="31">
        <f t="shared" si="5"/>
        <v>0</v>
      </c>
      <c r="Z101" s="32">
        <v>2</v>
      </c>
      <c r="AA101" s="33">
        <v>6</v>
      </c>
      <c r="AB101" s="34">
        <v>44215</v>
      </c>
      <c r="AC101" s="90">
        <v>44228</v>
      </c>
      <c r="AD101" s="32"/>
      <c r="AE101" s="35"/>
      <c r="AF101" s="36"/>
      <c r="AG101" s="89"/>
      <c r="AH101" s="32"/>
      <c r="AI101" s="33"/>
      <c r="AJ101" s="36"/>
      <c r="AK101" s="89"/>
      <c r="AL101" s="32"/>
      <c r="AM101" s="33"/>
      <c r="AN101" s="36"/>
      <c r="AO101" s="89"/>
      <c r="AP101" s="32"/>
      <c r="AQ101" s="33"/>
      <c r="AR101" s="36"/>
      <c r="AS101" s="89"/>
      <c r="AT101" s="37">
        <f t="shared" si="7"/>
        <v>2</v>
      </c>
      <c r="AU101" s="38">
        <f t="shared" si="8"/>
        <v>2</v>
      </c>
    </row>
    <row r="102" spans="2:47" s="26" customFormat="1" ht="22.5" x14ac:dyDescent="0.25">
      <c r="B102" s="27">
        <v>90</v>
      </c>
      <c r="C102" s="27" t="s">
        <v>514</v>
      </c>
      <c r="D102" s="50">
        <v>40018250</v>
      </c>
      <c r="E102" s="29" t="s">
        <v>1755</v>
      </c>
      <c r="F102" s="29" t="s">
        <v>54</v>
      </c>
      <c r="G102" s="30" t="s">
        <v>1645</v>
      </c>
      <c r="H102" s="42" t="s">
        <v>1685</v>
      </c>
      <c r="I102" s="88" t="s">
        <v>72</v>
      </c>
      <c r="J102" s="406">
        <v>712373</v>
      </c>
      <c r="K102" s="31">
        <v>0</v>
      </c>
      <c r="L102" s="31">
        <f t="shared" si="6"/>
        <v>712373</v>
      </c>
      <c r="M102" s="31">
        <v>0</v>
      </c>
      <c r="N102" s="31">
        <v>0</v>
      </c>
      <c r="O102" s="31">
        <v>0</v>
      </c>
      <c r="P102" s="31"/>
      <c r="Q102" s="31"/>
      <c r="R102" s="31"/>
      <c r="S102" s="31"/>
      <c r="T102" s="31"/>
      <c r="U102" s="31"/>
      <c r="V102" s="31"/>
      <c r="W102" s="31"/>
      <c r="X102" s="31"/>
      <c r="Y102" s="31">
        <f t="shared" si="5"/>
        <v>0</v>
      </c>
      <c r="Z102" s="32">
        <v>593237</v>
      </c>
      <c r="AA102" s="33">
        <v>6</v>
      </c>
      <c r="AB102" s="34">
        <v>44215</v>
      </c>
      <c r="AC102" s="90">
        <v>44228</v>
      </c>
      <c r="AD102" s="32"/>
      <c r="AE102" s="35"/>
      <c r="AF102" s="36"/>
      <c r="AG102" s="89"/>
      <c r="AH102" s="32"/>
      <c r="AI102" s="33"/>
      <c r="AJ102" s="36"/>
      <c r="AK102" s="89"/>
      <c r="AL102" s="32"/>
      <c r="AM102" s="33"/>
      <c r="AN102" s="36"/>
      <c r="AO102" s="89"/>
      <c r="AP102" s="32"/>
      <c r="AQ102" s="33"/>
      <c r="AR102" s="36"/>
      <c r="AS102" s="89"/>
      <c r="AT102" s="37">
        <f t="shared" si="7"/>
        <v>593237</v>
      </c>
      <c r="AU102" s="38">
        <f t="shared" si="8"/>
        <v>593237</v>
      </c>
    </row>
    <row r="103" spans="2:47" s="26" customFormat="1" ht="33.75" x14ac:dyDescent="0.25">
      <c r="B103" s="27">
        <v>91</v>
      </c>
      <c r="C103" s="27" t="s">
        <v>514</v>
      </c>
      <c r="D103" s="50">
        <v>40018252</v>
      </c>
      <c r="E103" s="29" t="s">
        <v>1756</v>
      </c>
      <c r="F103" s="29" t="s">
        <v>54</v>
      </c>
      <c r="G103" s="30" t="s">
        <v>1645</v>
      </c>
      <c r="H103" s="42" t="s">
        <v>1691</v>
      </c>
      <c r="I103" s="88" t="s">
        <v>72</v>
      </c>
      <c r="J103" s="406">
        <v>167166</v>
      </c>
      <c r="K103" s="31">
        <v>0</v>
      </c>
      <c r="L103" s="31">
        <f t="shared" si="6"/>
        <v>167166</v>
      </c>
      <c r="M103" s="31">
        <v>0</v>
      </c>
      <c r="N103" s="31">
        <v>0</v>
      </c>
      <c r="O103" s="31">
        <v>0</v>
      </c>
      <c r="P103" s="31"/>
      <c r="Q103" s="31"/>
      <c r="R103" s="31"/>
      <c r="S103" s="31"/>
      <c r="T103" s="31"/>
      <c r="U103" s="31"/>
      <c r="V103" s="31"/>
      <c r="W103" s="31"/>
      <c r="X103" s="31"/>
      <c r="Y103" s="31">
        <f t="shared" si="5"/>
        <v>0</v>
      </c>
      <c r="Z103" s="32">
        <v>1001</v>
      </c>
      <c r="AA103" s="33">
        <v>6</v>
      </c>
      <c r="AB103" s="34">
        <v>44215</v>
      </c>
      <c r="AC103" s="90">
        <v>44228</v>
      </c>
      <c r="AD103" s="32"/>
      <c r="AE103" s="35"/>
      <c r="AF103" s="36"/>
      <c r="AG103" s="89"/>
      <c r="AH103" s="32"/>
      <c r="AI103" s="33"/>
      <c r="AJ103" s="36"/>
      <c r="AK103" s="89"/>
      <c r="AL103" s="32"/>
      <c r="AM103" s="33"/>
      <c r="AN103" s="36"/>
      <c r="AO103" s="89"/>
      <c r="AP103" s="32"/>
      <c r="AQ103" s="33"/>
      <c r="AR103" s="36"/>
      <c r="AS103" s="89"/>
      <c r="AT103" s="37">
        <f t="shared" si="7"/>
        <v>1001</v>
      </c>
      <c r="AU103" s="38">
        <f t="shared" si="8"/>
        <v>1001</v>
      </c>
    </row>
    <row r="104" spans="2:47" s="26" customFormat="1" ht="22.5" x14ac:dyDescent="0.25">
      <c r="B104" s="27">
        <v>92</v>
      </c>
      <c r="C104" s="27" t="s">
        <v>514</v>
      </c>
      <c r="D104" s="50">
        <v>40018835</v>
      </c>
      <c r="E104" s="29" t="s">
        <v>1757</v>
      </c>
      <c r="F104" s="29" t="s">
        <v>54</v>
      </c>
      <c r="G104" s="30" t="s">
        <v>1645</v>
      </c>
      <c r="H104" s="42" t="s">
        <v>1648</v>
      </c>
      <c r="I104" s="88" t="s">
        <v>72</v>
      </c>
      <c r="J104" s="406">
        <v>438335</v>
      </c>
      <c r="K104" s="31">
        <v>0</v>
      </c>
      <c r="L104" s="31">
        <f t="shared" si="6"/>
        <v>438335</v>
      </c>
      <c r="M104" s="31">
        <v>0</v>
      </c>
      <c r="N104" s="31">
        <v>0</v>
      </c>
      <c r="O104" s="31">
        <v>0</v>
      </c>
      <c r="P104" s="31"/>
      <c r="Q104" s="31"/>
      <c r="R104" s="31"/>
      <c r="S104" s="31"/>
      <c r="T104" s="31"/>
      <c r="U104" s="31"/>
      <c r="V104" s="31"/>
      <c r="W104" s="31"/>
      <c r="X104" s="31"/>
      <c r="Y104" s="31">
        <f t="shared" si="5"/>
        <v>0</v>
      </c>
      <c r="Z104" s="32">
        <v>2</v>
      </c>
      <c r="AA104" s="33">
        <v>6</v>
      </c>
      <c r="AB104" s="34">
        <v>44215</v>
      </c>
      <c r="AC104" s="90">
        <v>44228</v>
      </c>
      <c r="AD104" s="32"/>
      <c r="AE104" s="35"/>
      <c r="AF104" s="36"/>
      <c r="AG104" s="89"/>
      <c r="AH104" s="32"/>
      <c r="AI104" s="33"/>
      <c r="AJ104" s="36"/>
      <c r="AK104" s="89"/>
      <c r="AL104" s="32"/>
      <c r="AM104" s="33"/>
      <c r="AN104" s="36"/>
      <c r="AO104" s="89"/>
      <c r="AP104" s="32"/>
      <c r="AQ104" s="33"/>
      <c r="AR104" s="36"/>
      <c r="AS104" s="89"/>
      <c r="AT104" s="37">
        <f t="shared" si="7"/>
        <v>2</v>
      </c>
      <c r="AU104" s="38">
        <f t="shared" si="8"/>
        <v>2</v>
      </c>
    </row>
    <row r="105" spans="2:47" s="26" customFormat="1" ht="22.5" x14ac:dyDescent="0.25">
      <c r="B105" s="27">
        <v>95</v>
      </c>
      <c r="C105" s="27" t="s">
        <v>514</v>
      </c>
      <c r="D105" s="50">
        <v>40023413</v>
      </c>
      <c r="E105" s="29" t="s">
        <v>1758</v>
      </c>
      <c r="F105" s="29" t="s">
        <v>54</v>
      </c>
      <c r="G105" s="30" t="s">
        <v>1645</v>
      </c>
      <c r="H105" s="42" t="s">
        <v>1648</v>
      </c>
      <c r="I105" s="88" t="s">
        <v>72</v>
      </c>
      <c r="J105" s="406">
        <v>514589</v>
      </c>
      <c r="K105" s="31">
        <v>0</v>
      </c>
      <c r="L105" s="31">
        <f t="shared" si="6"/>
        <v>514589</v>
      </c>
      <c r="M105" s="31">
        <v>0</v>
      </c>
      <c r="N105" s="31">
        <v>0</v>
      </c>
      <c r="O105" s="31">
        <v>0</v>
      </c>
      <c r="P105" s="31"/>
      <c r="Q105" s="31"/>
      <c r="R105" s="31"/>
      <c r="S105" s="31"/>
      <c r="T105" s="31"/>
      <c r="U105" s="31"/>
      <c r="V105" s="31"/>
      <c r="W105" s="31"/>
      <c r="X105" s="31"/>
      <c r="Y105" s="31">
        <f t="shared" si="5"/>
        <v>0</v>
      </c>
      <c r="Z105" s="32">
        <v>2</v>
      </c>
      <c r="AA105" s="33">
        <v>6</v>
      </c>
      <c r="AB105" s="34">
        <v>44215</v>
      </c>
      <c r="AC105" s="90">
        <v>44228</v>
      </c>
      <c r="AD105" s="32"/>
      <c r="AE105" s="35"/>
      <c r="AF105" s="36"/>
      <c r="AG105" s="89"/>
      <c r="AH105" s="32"/>
      <c r="AI105" s="33"/>
      <c r="AJ105" s="36"/>
      <c r="AK105" s="89"/>
      <c r="AL105" s="32"/>
      <c r="AM105" s="33"/>
      <c r="AN105" s="36"/>
      <c r="AO105" s="89"/>
      <c r="AP105" s="32"/>
      <c r="AQ105" s="33"/>
      <c r="AR105" s="36"/>
      <c r="AS105" s="89"/>
      <c r="AT105" s="37">
        <f t="shared" si="7"/>
        <v>2</v>
      </c>
      <c r="AU105" s="38">
        <f t="shared" si="8"/>
        <v>2</v>
      </c>
    </row>
    <row r="106" spans="2:47" s="26" customFormat="1" ht="33.75" x14ac:dyDescent="0.25">
      <c r="B106" s="27">
        <v>97</v>
      </c>
      <c r="C106" s="27" t="s">
        <v>514</v>
      </c>
      <c r="D106" s="50">
        <v>40025257</v>
      </c>
      <c r="E106" s="29" t="s">
        <v>1759</v>
      </c>
      <c r="F106" s="29" t="s">
        <v>54</v>
      </c>
      <c r="G106" s="30" t="s">
        <v>1645</v>
      </c>
      <c r="H106" s="42" t="s">
        <v>1673</v>
      </c>
      <c r="I106" s="88" t="s">
        <v>72</v>
      </c>
      <c r="J106" s="406">
        <v>2120924</v>
      </c>
      <c r="K106" s="31">
        <v>0</v>
      </c>
      <c r="L106" s="31">
        <f t="shared" si="6"/>
        <v>2120924</v>
      </c>
      <c r="M106" s="31">
        <v>0</v>
      </c>
      <c r="N106" s="31">
        <v>0</v>
      </c>
      <c r="O106" s="31">
        <v>0</v>
      </c>
      <c r="P106" s="31"/>
      <c r="Q106" s="31"/>
      <c r="R106" s="31"/>
      <c r="S106" s="31"/>
      <c r="T106" s="31"/>
      <c r="U106" s="31"/>
      <c r="V106" s="31"/>
      <c r="W106" s="31"/>
      <c r="X106" s="31"/>
      <c r="Y106" s="31">
        <f t="shared" ref="Y106" si="9">SUM(M106:X106)</f>
        <v>0</v>
      </c>
      <c r="Z106" s="32">
        <v>1</v>
      </c>
      <c r="AA106" s="33">
        <v>6</v>
      </c>
      <c r="AB106" s="34">
        <v>44215</v>
      </c>
      <c r="AC106" s="90">
        <v>44228</v>
      </c>
      <c r="AD106" s="32"/>
      <c r="AE106" s="35"/>
      <c r="AF106" s="36"/>
      <c r="AG106" s="89"/>
      <c r="AH106" s="32"/>
      <c r="AI106" s="33"/>
      <c r="AJ106" s="36"/>
      <c r="AK106" s="89"/>
      <c r="AL106" s="32"/>
      <c r="AM106" s="33"/>
      <c r="AN106" s="36"/>
      <c r="AO106" s="89"/>
      <c r="AP106" s="32"/>
      <c r="AQ106" s="33"/>
      <c r="AR106" s="36"/>
      <c r="AS106" s="89"/>
      <c r="AT106" s="37">
        <f t="shared" si="7"/>
        <v>1</v>
      </c>
      <c r="AU106" s="38">
        <f t="shared" si="8"/>
        <v>1</v>
      </c>
    </row>
    <row r="107" spans="2:47" s="26" customFormat="1" x14ac:dyDescent="0.25">
      <c r="B107" s="27"/>
      <c r="C107" s="27"/>
      <c r="D107" s="50"/>
      <c r="E107" s="29"/>
      <c r="F107" s="29"/>
      <c r="G107" s="30"/>
      <c r="H107" s="42"/>
      <c r="I107" s="88"/>
      <c r="J107" s="406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2"/>
      <c r="AA107" s="33"/>
      <c r="AB107" s="34"/>
      <c r="AC107" s="90"/>
      <c r="AD107" s="32"/>
      <c r="AE107" s="35"/>
      <c r="AF107" s="36"/>
      <c r="AG107" s="89"/>
      <c r="AH107" s="32"/>
      <c r="AI107" s="33"/>
      <c r="AJ107" s="36"/>
      <c r="AK107" s="89"/>
      <c r="AL107" s="32"/>
      <c r="AM107" s="33"/>
      <c r="AN107" s="36"/>
      <c r="AO107" s="89"/>
      <c r="AP107" s="32"/>
      <c r="AQ107" s="33"/>
      <c r="AR107" s="36"/>
      <c r="AS107" s="89"/>
      <c r="AT107" s="37"/>
      <c r="AU107" s="38"/>
    </row>
    <row r="108" spans="2:47" s="26" customFormat="1" x14ac:dyDescent="0.25">
      <c r="B108" s="27"/>
      <c r="C108" s="27"/>
      <c r="D108" s="50"/>
      <c r="E108" s="29"/>
      <c r="F108" s="29"/>
      <c r="G108" s="30"/>
      <c r="H108" s="42"/>
      <c r="I108" s="88"/>
      <c r="J108" s="406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2"/>
      <c r="AA108" s="33"/>
      <c r="AB108" s="34"/>
      <c r="AC108" s="90"/>
      <c r="AD108" s="32"/>
      <c r="AE108" s="35"/>
      <c r="AF108" s="36"/>
      <c r="AG108" s="89"/>
      <c r="AH108" s="32"/>
      <c r="AI108" s="33"/>
      <c r="AJ108" s="36"/>
      <c r="AK108" s="89"/>
      <c r="AL108" s="32"/>
      <c r="AM108" s="33"/>
      <c r="AN108" s="36"/>
      <c r="AO108" s="89"/>
      <c r="AP108" s="32"/>
      <c r="AQ108" s="33"/>
      <c r="AR108" s="36"/>
      <c r="AS108" s="89"/>
      <c r="AT108" s="37"/>
      <c r="AU108" s="38"/>
    </row>
    <row r="109" spans="2:47" ht="15" customHeight="1" x14ac:dyDescent="0.25">
      <c r="B109" s="534" t="s">
        <v>40</v>
      </c>
      <c r="C109" s="535"/>
      <c r="D109" s="535"/>
      <c r="E109" s="535"/>
      <c r="F109" s="535"/>
      <c r="G109" s="535"/>
      <c r="H109" s="535"/>
      <c r="I109" s="536"/>
      <c r="J109" s="48">
        <f t="shared" ref="J109:Z109" si="10">SUBTOTAL(9,J16:J106)</f>
        <v>169561669</v>
      </c>
      <c r="K109" s="48">
        <f t="shared" si="10"/>
        <v>46980148</v>
      </c>
      <c r="L109" s="48">
        <f t="shared" si="10"/>
        <v>122581521</v>
      </c>
      <c r="M109" s="48">
        <f t="shared" si="10"/>
        <v>0</v>
      </c>
      <c r="N109" s="48">
        <f t="shared" si="10"/>
        <v>2361848</v>
      </c>
      <c r="O109" s="48">
        <f t="shared" si="10"/>
        <v>2581695</v>
      </c>
      <c r="P109" s="48">
        <f t="shared" si="10"/>
        <v>0</v>
      </c>
      <c r="Q109" s="48">
        <f t="shared" si="10"/>
        <v>0</v>
      </c>
      <c r="R109" s="48">
        <f t="shared" si="10"/>
        <v>0</v>
      </c>
      <c r="S109" s="48">
        <f t="shared" si="10"/>
        <v>0</v>
      </c>
      <c r="T109" s="48">
        <f t="shared" si="10"/>
        <v>0</v>
      </c>
      <c r="U109" s="48">
        <f t="shared" si="10"/>
        <v>0</v>
      </c>
      <c r="V109" s="48">
        <f t="shared" si="10"/>
        <v>0</v>
      </c>
      <c r="W109" s="48">
        <f t="shared" si="10"/>
        <v>0</v>
      </c>
      <c r="X109" s="48">
        <f t="shared" si="10"/>
        <v>0</v>
      </c>
      <c r="Y109" s="48">
        <f t="shared" si="10"/>
        <v>4943543</v>
      </c>
      <c r="Z109" s="48">
        <f t="shared" si="10"/>
        <v>24332649</v>
      </c>
      <c r="AA109" s="48"/>
      <c r="AB109" s="48"/>
      <c r="AC109" s="48"/>
      <c r="AD109" s="48">
        <f t="shared" ref="AD109:AU109" si="11">SUBTOTAL(9,AD16:AD106)</f>
        <v>0</v>
      </c>
      <c r="AE109" s="48">
        <f t="shared" si="11"/>
        <v>0</v>
      </c>
      <c r="AF109" s="48">
        <f t="shared" si="11"/>
        <v>0</v>
      </c>
      <c r="AG109" s="48">
        <f t="shared" si="11"/>
        <v>0</v>
      </c>
      <c r="AH109" s="48">
        <f t="shared" si="11"/>
        <v>0</v>
      </c>
      <c r="AI109" s="48">
        <f t="shared" si="11"/>
        <v>0</v>
      </c>
      <c r="AJ109" s="48">
        <f t="shared" si="11"/>
        <v>0</v>
      </c>
      <c r="AK109" s="48">
        <f t="shared" si="11"/>
        <v>0</v>
      </c>
      <c r="AL109" s="48">
        <f t="shared" si="11"/>
        <v>0</v>
      </c>
      <c r="AM109" s="48">
        <f t="shared" si="11"/>
        <v>0</v>
      </c>
      <c r="AN109" s="48">
        <f t="shared" si="11"/>
        <v>0</v>
      </c>
      <c r="AO109" s="48">
        <f t="shared" si="11"/>
        <v>0</v>
      </c>
      <c r="AP109" s="48">
        <f t="shared" si="11"/>
        <v>0</v>
      </c>
      <c r="AQ109" s="48">
        <f t="shared" si="11"/>
        <v>0</v>
      </c>
      <c r="AR109" s="48">
        <f t="shared" si="11"/>
        <v>0</v>
      </c>
      <c r="AS109" s="48">
        <f t="shared" si="11"/>
        <v>0</v>
      </c>
      <c r="AT109" s="48">
        <f t="shared" si="11"/>
        <v>24332649</v>
      </c>
      <c r="AU109" s="48">
        <f t="shared" si="11"/>
        <v>19389106</v>
      </c>
    </row>
    <row r="110" spans="2:47" ht="20.25" customHeight="1" x14ac:dyDescent="0.2">
      <c r="B110" s="537"/>
      <c r="C110" s="537"/>
      <c r="D110" s="537"/>
      <c r="E110" s="537"/>
      <c r="F110" s="44"/>
      <c r="G110" s="16"/>
      <c r="H110" s="16"/>
    </row>
    <row r="111" spans="2:47" x14ac:dyDescent="0.2">
      <c r="B111" s="538"/>
      <c r="C111" s="538"/>
      <c r="D111" s="538"/>
      <c r="E111" s="538"/>
      <c r="F111" s="538"/>
      <c r="G111" s="538"/>
      <c r="H111" s="538"/>
      <c r="I111" s="538"/>
      <c r="J111" s="538"/>
      <c r="K111" s="538"/>
      <c r="L111" s="538"/>
      <c r="M111" s="538"/>
      <c r="N111" s="538"/>
      <c r="O111" s="538"/>
      <c r="P111" s="538"/>
      <c r="Q111" s="538"/>
      <c r="R111" s="538"/>
      <c r="S111" s="538"/>
      <c r="T111" s="538"/>
      <c r="U111" s="538"/>
      <c r="V111" s="538"/>
      <c r="W111" s="538"/>
      <c r="X111" s="538"/>
      <c r="Y111" s="538"/>
      <c r="Z111" s="538"/>
      <c r="AA111" s="538"/>
      <c r="AB111" s="538"/>
      <c r="AC111" s="538"/>
      <c r="AD111" s="45"/>
      <c r="AE111" s="46"/>
      <c r="AF111" s="45"/>
      <c r="AG111" s="45"/>
      <c r="AH111" s="45"/>
      <c r="AI111" s="47"/>
      <c r="AJ111" s="45"/>
      <c r="AK111" s="45"/>
      <c r="AL111" s="45"/>
      <c r="AM111" s="47"/>
      <c r="AN111" s="45"/>
      <c r="AO111" s="45"/>
      <c r="AP111" s="45"/>
      <c r="AQ111" s="47"/>
      <c r="AR111" s="45"/>
      <c r="AS111" s="45"/>
    </row>
    <row r="112" spans="2:47" x14ac:dyDescent="0.2">
      <c r="Z112" s="9"/>
      <c r="AA112" s="4"/>
      <c r="AD112" s="8"/>
      <c r="AE112" s="4"/>
      <c r="AH112" s="9"/>
      <c r="AI112" s="4"/>
      <c r="AL112" s="9"/>
      <c r="AM112" s="4"/>
      <c r="AP112" s="9"/>
      <c r="AQ112" s="4"/>
      <c r="AS112" s="8"/>
      <c r="AU112" s="4"/>
    </row>
    <row r="113" spans="26:47" x14ac:dyDescent="0.2">
      <c r="Z113" s="9"/>
      <c r="AA113" s="4"/>
      <c r="AD113" s="8"/>
      <c r="AE113" s="4"/>
      <c r="AH113" s="9"/>
      <c r="AI113" s="4"/>
      <c r="AL113" s="9"/>
      <c r="AM113" s="4"/>
      <c r="AP113" s="9"/>
      <c r="AQ113" s="4"/>
      <c r="AS113" s="8"/>
      <c r="AU113" s="4"/>
    </row>
    <row r="114" spans="26:47" x14ac:dyDescent="0.2">
      <c r="Z114" s="9"/>
      <c r="AA114" s="4"/>
      <c r="AD114" s="8"/>
      <c r="AE114" s="4"/>
      <c r="AH114" s="9"/>
      <c r="AI114" s="4"/>
      <c r="AL114" s="9"/>
      <c r="AM114" s="4"/>
      <c r="AP114" s="9"/>
      <c r="AQ114" s="4"/>
      <c r="AS114" s="8"/>
      <c r="AU114" s="4"/>
    </row>
  </sheetData>
  <autoFilter ref="A15:AU106"/>
  <mergeCells count="15">
    <mergeCell ref="AH14:AK14"/>
    <mergeCell ref="AL14:AO14"/>
    <mergeCell ref="AP14:AS14"/>
    <mergeCell ref="AT14:AU14"/>
    <mergeCell ref="B1:AC2"/>
    <mergeCell ref="B3:AC4"/>
    <mergeCell ref="B5:AC5"/>
    <mergeCell ref="B6:AC6"/>
    <mergeCell ref="B7:AC7"/>
    <mergeCell ref="B8:AC8"/>
    <mergeCell ref="B109:I109"/>
    <mergeCell ref="B110:E110"/>
    <mergeCell ref="B111:AC111"/>
    <mergeCell ref="Z14:AC14"/>
    <mergeCell ref="AD14:AG14"/>
  </mergeCells>
  <conditionalFormatting sqref="D107:D108">
    <cfRule type="duplicateValues" dxfId="42" priority="1"/>
  </conditionalFormatting>
  <conditionalFormatting sqref="D16:D106">
    <cfRule type="duplicateValues" dxfId="41" priority="2"/>
  </conditionalFormatting>
  <printOptions horizontalCentered="1"/>
  <pageMargins left="0.15" right="0.55000000000000004" top="0.74803149606299213" bottom="0.74803149606299213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:AV250"/>
  <sheetViews>
    <sheetView showGridLines="0" topLeftCell="A9" zoomScale="90" zoomScaleNormal="90" workbookViewId="0">
      <pane ySplit="8" topLeftCell="A176" activePane="bottomLeft" state="frozen"/>
      <selection activeCell="A9" sqref="A9"/>
      <selection pane="bottomLeft" activeCell="AI226" sqref="AI226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57.85546875" style="4" customWidth="1"/>
    <col min="6" max="6" width="13.140625" style="4" customWidth="1"/>
    <col min="7" max="7" width="11.28515625" style="4" customWidth="1"/>
    <col min="8" max="8" width="18.85546875" style="4" customWidth="1"/>
    <col min="9" max="9" width="9.7109375" style="4" customWidth="1"/>
    <col min="10" max="10" width="15.85546875" style="309" customWidth="1"/>
    <col min="11" max="12" width="12" style="309" customWidth="1"/>
    <col min="13" max="25" width="12" style="4" customWidth="1"/>
    <col min="26" max="26" width="15.5703125" style="4" customWidth="1"/>
    <col min="27" max="27" width="11.7109375" style="9" customWidth="1"/>
    <col min="28" max="28" width="14.7109375" style="514" customWidth="1"/>
    <col min="29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46" width="11.42578125" style="4" customWidth="1"/>
    <col min="47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413"/>
      <c r="AE1" s="2"/>
      <c r="AF1" s="413"/>
      <c r="AG1" s="413"/>
      <c r="AH1" s="413"/>
      <c r="AI1" s="3"/>
      <c r="AJ1" s="413"/>
      <c r="AK1" s="413"/>
      <c r="AL1" s="413"/>
      <c r="AM1" s="3"/>
      <c r="AN1" s="413"/>
      <c r="AO1" s="413"/>
      <c r="AP1" s="413"/>
      <c r="AQ1" s="3"/>
      <c r="AR1" s="413"/>
      <c r="AS1" s="413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413"/>
      <c r="AE2" s="2"/>
      <c r="AF2" s="413"/>
      <c r="AG2" s="413"/>
      <c r="AH2" s="413"/>
      <c r="AI2" s="3"/>
      <c r="AJ2" s="413"/>
      <c r="AK2" s="413"/>
      <c r="AL2" s="413"/>
      <c r="AM2" s="3"/>
      <c r="AN2" s="413"/>
      <c r="AO2" s="413"/>
      <c r="AP2" s="413"/>
      <c r="AQ2" s="3"/>
      <c r="AR2" s="413"/>
      <c r="AS2" s="413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412"/>
      <c r="AE3" s="6"/>
      <c r="AF3" s="412"/>
      <c r="AG3" s="412"/>
      <c r="AH3" s="412"/>
      <c r="AI3" s="7"/>
      <c r="AJ3" s="412"/>
      <c r="AK3" s="412"/>
      <c r="AL3" s="412"/>
      <c r="AM3" s="7"/>
      <c r="AN3" s="412"/>
      <c r="AO3" s="412"/>
      <c r="AP3" s="412"/>
      <c r="AQ3" s="7"/>
      <c r="AR3" s="412"/>
      <c r="AS3" s="412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412"/>
      <c r="AE4" s="6"/>
      <c r="AF4" s="412"/>
      <c r="AG4" s="412"/>
      <c r="AH4" s="412"/>
      <c r="AI4" s="7"/>
      <c r="AJ4" s="412"/>
      <c r="AK4" s="412"/>
      <c r="AL4" s="412"/>
      <c r="AM4" s="7"/>
      <c r="AN4" s="412"/>
      <c r="AO4" s="412"/>
      <c r="AP4" s="412"/>
      <c r="AQ4" s="7"/>
      <c r="AR4" s="412"/>
      <c r="AS4" s="412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412"/>
      <c r="AE5" s="6"/>
      <c r="AF5" s="412"/>
      <c r="AG5" s="412"/>
      <c r="AH5" s="412"/>
      <c r="AI5" s="7"/>
      <c r="AJ5" s="412"/>
      <c r="AK5" s="412"/>
      <c r="AL5" s="412"/>
      <c r="AM5" s="7"/>
      <c r="AN5" s="412"/>
      <c r="AO5" s="412"/>
      <c r="AP5" s="412"/>
      <c r="AQ5" s="7"/>
      <c r="AR5" s="412"/>
      <c r="AS5" s="412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412"/>
      <c r="AE6" s="6"/>
      <c r="AF6" s="412"/>
      <c r="AG6" s="412"/>
      <c r="AH6" s="412"/>
      <c r="AI6" s="7"/>
      <c r="AJ6" s="412"/>
      <c r="AK6" s="412"/>
      <c r="AL6" s="412"/>
      <c r="AM6" s="7"/>
      <c r="AN6" s="412"/>
      <c r="AO6" s="412"/>
      <c r="AP6" s="412"/>
      <c r="AQ6" s="7"/>
      <c r="AR6" s="412"/>
      <c r="AS6" s="412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412"/>
      <c r="AE7" s="6"/>
      <c r="AF7" s="412"/>
      <c r="AG7" s="412"/>
      <c r="AH7" s="412"/>
      <c r="AI7" s="7"/>
      <c r="AJ7" s="412"/>
      <c r="AK7" s="412"/>
      <c r="AL7" s="412"/>
      <c r="AM7" s="7"/>
      <c r="AN7" s="412"/>
      <c r="AO7" s="412"/>
      <c r="AP7" s="412"/>
      <c r="AQ7" s="7"/>
      <c r="AR7" s="412"/>
      <c r="AS7" s="412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412"/>
      <c r="AE8" s="6"/>
      <c r="AF8" s="412"/>
      <c r="AG8" s="412"/>
      <c r="AH8" s="412"/>
      <c r="AI8" s="7"/>
      <c r="AJ8" s="412"/>
      <c r="AK8" s="412"/>
      <c r="AL8" s="412"/>
      <c r="AM8" s="7"/>
      <c r="AN8" s="412"/>
      <c r="AO8" s="412"/>
      <c r="AP8" s="412"/>
      <c r="AQ8" s="7"/>
      <c r="AR8" s="412"/>
      <c r="AS8" s="412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51"/>
      <c r="K9" s="551"/>
      <c r="L9" s="551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52"/>
      <c r="AC9" s="520"/>
      <c r="AD9" s="412"/>
      <c r="AE9" s="6"/>
      <c r="AF9" s="412"/>
      <c r="AG9" s="412"/>
      <c r="AH9" s="412"/>
      <c r="AI9" s="7"/>
      <c r="AJ9" s="412"/>
      <c r="AK9" s="412"/>
      <c r="AL9" s="412"/>
      <c r="AM9" s="7"/>
      <c r="AN9" s="412"/>
      <c r="AO9" s="412"/>
      <c r="AP9" s="412"/>
      <c r="AQ9" s="7"/>
      <c r="AR9" s="412"/>
      <c r="AS9" s="412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51"/>
      <c r="K10" s="551"/>
      <c r="L10" s="551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52"/>
      <c r="AC10" s="520"/>
    </row>
    <row r="11" spans="2:47" ht="18.75" x14ac:dyDescent="0.2">
      <c r="B11" s="411"/>
      <c r="C11" s="411"/>
      <c r="D11" s="411"/>
      <c r="E11" s="411"/>
      <c r="F11" s="411"/>
      <c r="G11" s="411"/>
      <c r="H11" s="411"/>
      <c r="I11" s="411"/>
      <c r="J11" s="436"/>
      <c r="K11" s="436"/>
      <c r="L11" s="436"/>
      <c r="M11" s="411"/>
      <c r="N11" s="411"/>
      <c r="O11" s="411"/>
      <c r="P11" s="411"/>
      <c r="Q11" s="411"/>
      <c r="R11" s="411"/>
      <c r="S11" s="411"/>
      <c r="T11" s="411"/>
      <c r="U11" s="411"/>
      <c r="V11" s="411"/>
      <c r="W11" s="411"/>
      <c r="X11" s="411"/>
      <c r="Y11" s="411"/>
      <c r="Z11" s="411"/>
      <c r="AA11" s="411"/>
      <c r="AB11" s="437"/>
      <c r="AC11" s="411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411"/>
      <c r="H12" s="411"/>
      <c r="I12" s="411"/>
      <c r="J12" s="436"/>
      <c r="K12" s="436"/>
      <c r="L12" s="436"/>
      <c r="M12" s="411"/>
      <c r="N12" s="411"/>
      <c r="O12" s="411"/>
      <c r="P12" s="411"/>
      <c r="Q12" s="411"/>
      <c r="R12" s="411"/>
      <c r="S12" s="411"/>
      <c r="T12" s="411"/>
      <c r="U12" s="411"/>
      <c r="V12" s="411"/>
      <c r="W12" s="411"/>
      <c r="X12" s="411"/>
      <c r="Y12" s="411"/>
      <c r="Z12" s="411"/>
      <c r="AA12" s="411"/>
      <c r="AB12" s="437"/>
      <c r="AC12" s="411"/>
    </row>
    <row r="13" spans="2:47" ht="18.75" x14ac:dyDescent="0.2">
      <c r="B13" s="15">
        <v>30792063</v>
      </c>
      <c r="C13" s="15">
        <v>30792063</v>
      </c>
      <c r="D13" s="15">
        <v>30792063</v>
      </c>
      <c r="E13" s="15">
        <f>+Y224</f>
        <v>16805646</v>
      </c>
      <c r="F13" s="84"/>
      <c r="G13" s="411"/>
      <c r="H13" s="411"/>
      <c r="I13" s="411"/>
      <c r="J13" s="436"/>
      <c r="K13" s="436"/>
      <c r="L13" s="436"/>
      <c r="M13" s="411"/>
      <c r="N13" s="411"/>
      <c r="O13" s="411"/>
      <c r="P13" s="411"/>
      <c r="Q13" s="411"/>
      <c r="R13" s="411"/>
      <c r="S13" s="411"/>
      <c r="T13" s="411"/>
      <c r="U13" s="411"/>
      <c r="V13" s="411"/>
      <c r="W13" s="411"/>
      <c r="X13" s="411"/>
      <c r="Y13" s="411"/>
      <c r="Z13" s="411"/>
      <c r="AA13" s="411"/>
      <c r="AB13" s="437"/>
      <c r="AC13" s="411"/>
    </row>
    <row r="14" spans="2:47" ht="15" customHeight="1" x14ac:dyDescent="0.2">
      <c r="C14" s="17"/>
      <c r="D14" s="18"/>
      <c r="E14" s="17"/>
      <c r="F14" s="17"/>
      <c r="Z14" s="531" t="s">
        <v>5</v>
      </c>
      <c r="AA14" s="532"/>
      <c r="AB14" s="553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54"/>
      <c r="AR14" s="554"/>
      <c r="AS14" s="555"/>
      <c r="AT14" s="518" t="s">
        <v>7</v>
      </c>
      <c r="AU14" s="518"/>
    </row>
    <row r="15" spans="2:47" ht="15" customHeight="1" x14ac:dyDescent="0.2">
      <c r="C15" s="17"/>
      <c r="D15" s="18"/>
      <c r="E15" s="17"/>
      <c r="F15" s="17"/>
      <c r="Z15" s="438"/>
      <c r="AA15" s="439"/>
      <c r="AB15" s="440"/>
      <c r="AC15" s="439"/>
      <c r="AD15" s="441"/>
      <c r="AE15" s="442"/>
      <c r="AF15" s="442"/>
      <c r="AG15" s="442"/>
      <c r="AH15" s="441"/>
      <c r="AI15" s="442"/>
      <c r="AJ15" s="442"/>
      <c r="AK15" s="442"/>
      <c r="AL15" s="441"/>
      <c r="AM15" s="442"/>
      <c r="AN15" s="442"/>
      <c r="AO15" s="442"/>
      <c r="AP15" s="441"/>
      <c r="AQ15" s="443"/>
      <c r="AR15" s="443"/>
      <c r="AS15" s="443"/>
      <c r="AT15" s="444"/>
      <c r="AU15" s="444"/>
    </row>
    <row r="16" spans="2:47" s="26" customFormat="1" ht="60" x14ac:dyDescent="0.25">
      <c r="B16" s="19" t="s">
        <v>8</v>
      </c>
      <c r="C16" s="19" t="s">
        <v>9</v>
      </c>
      <c r="D16" s="19" t="s">
        <v>10</v>
      </c>
      <c r="E16" s="10" t="s">
        <v>11</v>
      </c>
      <c r="F16" s="20" t="s">
        <v>12</v>
      </c>
      <c r="G16" s="20" t="s">
        <v>13</v>
      </c>
      <c r="H16" s="20" t="s">
        <v>14</v>
      </c>
      <c r="I16" s="20" t="s">
        <v>15</v>
      </c>
      <c r="J16" s="445" t="s">
        <v>16</v>
      </c>
      <c r="K16" s="445" t="s">
        <v>17</v>
      </c>
      <c r="L16" s="445" t="s">
        <v>18</v>
      </c>
      <c r="M16" s="85" t="s">
        <v>19</v>
      </c>
      <c r="N16" s="85" t="s">
        <v>20</v>
      </c>
      <c r="O16" s="85" t="s">
        <v>21</v>
      </c>
      <c r="P16" s="85" t="s">
        <v>22</v>
      </c>
      <c r="Q16" s="85" t="s">
        <v>23</v>
      </c>
      <c r="R16" s="86" t="s">
        <v>24</v>
      </c>
      <c r="S16" s="86" t="s">
        <v>25</v>
      </c>
      <c r="T16" s="86" t="s">
        <v>26</v>
      </c>
      <c r="U16" s="86" t="s">
        <v>27</v>
      </c>
      <c r="V16" s="86" t="s">
        <v>28</v>
      </c>
      <c r="W16" s="86" t="s">
        <v>29</v>
      </c>
      <c r="X16" s="86" t="s">
        <v>30</v>
      </c>
      <c r="Y16" s="21" t="s">
        <v>31</v>
      </c>
      <c r="Z16" s="22" t="s">
        <v>32</v>
      </c>
      <c r="AA16" s="23" t="s">
        <v>33</v>
      </c>
      <c r="AB16" s="446" t="s">
        <v>34</v>
      </c>
      <c r="AC16" s="22" t="s">
        <v>35</v>
      </c>
      <c r="AD16" s="24" t="s">
        <v>36</v>
      </c>
      <c r="AE16" s="25" t="s">
        <v>33</v>
      </c>
      <c r="AF16" s="24" t="s">
        <v>34</v>
      </c>
      <c r="AG16" s="24" t="s">
        <v>35</v>
      </c>
      <c r="AH16" s="24" t="s">
        <v>2021</v>
      </c>
      <c r="AI16" s="25" t="s">
        <v>33</v>
      </c>
      <c r="AJ16" s="24" t="s">
        <v>34</v>
      </c>
      <c r="AK16" s="24" t="s">
        <v>35</v>
      </c>
      <c r="AL16" s="24" t="s">
        <v>2022</v>
      </c>
      <c r="AM16" s="25" t="s">
        <v>33</v>
      </c>
      <c r="AN16" s="24" t="s">
        <v>34</v>
      </c>
      <c r="AO16" s="24" t="s">
        <v>35</v>
      </c>
      <c r="AP16" s="24" t="s">
        <v>2023</v>
      </c>
      <c r="AQ16" s="25" t="s">
        <v>33</v>
      </c>
      <c r="AR16" s="24" t="s">
        <v>34</v>
      </c>
      <c r="AS16" s="24" t="s">
        <v>35</v>
      </c>
      <c r="AT16" s="49" t="s">
        <v>37</v>
      </c>
      <c r="AU16" s="49" t="s">
        <v>38</v>
      </c>
    </row>
    <row r="17" spans="2:48" s="26" customFormat="1" x14ac:dyDescent="0.2">
      <c r="B17" s="27">
        <v>1</v>
      </c>
      <c r="C17" s="447" t="s">
        <v>39</v>
      </c>
      <c r="D17" s="448">
        <v>20099555</v>
      </c>
      <c r="E17" s="449" t="s">
        <v>2024</v>
      </c>
      <c r="F17" s="450" t="s">
        <v>147</v>
      </c>
      <c r="G17" s="451" t="s">
        <v>2025</v>
      </c>
      <c r="H17" s="451" t="s">
        <v>2026</v>
      </c>
      <c r="I17" s="452" t="s">
        <v>57</v>
      </c>
      <c r="J17" s="453">
        <v>1525964</v>
      </c>
      <c r="K17" s="454">
        <v>961661</v>
      </c>
      <c r="L17" s="455">
        <v>0</v>
      </c>
      <c r="M17" s="456">
        <v>0</v>
      </c>
      <c r="N17" s="456">
        <v>87929</v>
      </c>
      <c r="O17" s="456">
        <v>0</v>
      </c>
      <c r="P17" s="456"/>
      <c r="Q17" s="456"/>
      <c r="R17" s="456"/>
      <c r="S17" s="456"/>
      <c r="T17" s="456"/>
      <c r="U17" s="456"/>
      <c r="V17" s="456"/>
      <c r="W17" s="456"/>
      <c r="X17" s="456"/>
      <c r="Y17" s="456">
        <f>SUM(M17:X17)</f>
        <v>87929</v>
      </c>
      <c r="Z17" s="457">
        <v>243971</v>
      </c>
      <c r="AA17" s="458" t="s">
        <v>144</v>
      </c>
      <c r="AB17" s="459">
        <v>44224</v>
      </c>
      <c r="AC17" s="460">
        <v>44251</v>
      </c>
      <c r="AD17" s="457"/>
      <c r="AE17" s="461"/>
      <c r="AF17" s="462"/>
      <c r="AG17" s="460"/>
      <c r="AH17" s="457"/>
      <c r="AI17" s="458"/>
      <c r="AJ17" s="462"/>
      <c r="AK17" s="460"/>
      <c r="AL17" s="457"/>
      <c r="AM17" s="458"/>
      <c r="AN17" s="462"/>
      <c r="AO17" s="460"/>
      <c r="AP17" s="457"/>
      <c r="AQ17" s="458"/>
      <c r="AR17" s="463"/>
      <c r="AS17" s="464"/>
      <c r="AT17" s="37">
        <f>(Z17+AD17+AH17+AL17+AP17)</f>
        <v>243971</v>
      </c>
      <c r="AU17" s="465">
        <f>AT17-Y17</f>
        <v>156042</v>
      </c>
      <c r="AV17" s="466"/>
    </row>
    <row r="18" spans="2:48" s="26" customFormat="1" x14ac:dyDescent="0.2">
      <c r="B18" s="27">
        <v>2</v>
      </c>
      <c r="C18" s="447" t="s">
        <v>39</v>
      </c>
      <c r="D18" s="448">
        <v>20155824</v>
      </c>
      <c r="E18" s="449" t="s">
        <v>2027</v>
      </c>
      <c r="F18" s="450" t="s">
        <v>147</v>
      </c>
      <c r="G18" s="451" t="s">
        <v>2025</v>
      </c>
      <c r="H18" s="451" t="s">
        <v>2028</v>
      </c>
      <c r="I18" s="452" t="s">
        <v>57</v>
      </c>
      <c r="J18" s="453">
        <v>3625201</v>
      </c>
      <c r="K18" s="467">
        <v>3583373</v>
      </c>
      <c r="L18" s="456">
        <v>0</v>
      </c>
      <c r="M18" s="456">
        <v>0</v>
      </c>
      <c r="N18" s="456">
        <v>0</v>
      </c>
      <c r="O18" s="456">
        <v>0</v>
      </c>
      <c r="P18" s="456"/>
      <c r="Q18" s="456"/>
      <c r="R18" s="456"/>
      <c r="S18" s="456"/>
      <c r="T18" s="456"/>
      <c r="U18" s="456"/>
      <c r="V18" s="456"/>
      <c r="W18" s="456"/>
      <c r="X18" s="456"/>
      <c r="Y18" s="456">
        <f t="shared" ref="Y18:Y82" si="0">SUM(M18:X18)</f>
        <v>0</v>
      </c>
      <c r="Z18" s="457">
        <v>2</v>
      </c>
      <c r="AA18" s="468" t="s">
        <v>2020</v>
      </c>
      <c r="AB18" s="459">
        <v>44232</v>
      </c>
      <c r="AC18" s="464">
        <v>44251</v>
      </c>
      <c r="AD18" s="457"/>
      <c r="AE18" s="469"/>
      <c r="AF18" s="463"/>
      <c r="AG18" s="464"/>
      <c r="AH18" s="457"/>
      <c r="AI18" s="468"/>
      <c r="AJ18" s="463"/>
      <c r="AK18" s="464"/>
      <c r="AL18" s="457"/>
      <c r="AM18" s="468"/>
      <c r="AN18" s="463"/>
      <c r="AO18" s="464"/>
      <c r="AP18" s="457"/>
      <c r="AQ18" s="468"/>
      <c r="AR18" s="463"/>
      <c r="AS18" s="464"/>
      <c r="AT18" s="37">
        <f t="shared" ref="AT18:AT81" si="1">(Z18+AD18+AH18+AL18+AP18)</f>
        <v>2</v>
      </c>
      <c r="AU18" s="465">
        <f t="shared" ref="AU18:AU81" si="2">AT18-Y18</f>
        <v>2</v>
      </c>
      <c r="AV18" s="466"/>
    </row>
    <row r="19" spans="2:48" s="26" customFormat="1" x14ac:dyDescent="0.2">
      <c r="B19" s="27">
        <f>+B18+1</f>
        <v>3</v>
      </c>
      <c r="C19" s="447" t="s">
        <v>39</v>
      </c>
      <c r="D19" s="448">
        <v>20156148</v>
      </c>
      <c r="E19" s="449" t="s">
        <v>2029</v>
      </c>
      <c r="F19" s="450" t="s">
        <v>147</v>
      </c>
      <c r="G19" s="451" t="s">
        <v>2025</v>
      </c>
      <c r="H19" s="451" t="s">
        <v>2030</v>
      </c>
      <c r="I19" s="452" t="s">
        <v>57</v>
      </c>
      <c r="J19" s="453">
        <v>4460357</v>
      </c>
      <c r="K19" s="467">
        <v>10534</v>
      </c>
      <c r="L19" s="456">
        <v>3624015</v>
      </c>
      <c r="M19" s="456">
        <v>0</v>
      </c>
      <c r="N19" s="456">
        <v>120039</v>
      </c>
      <c r="O19" s="456">
        <v>137040</v>
      </c>
      <c r="P19" s="456"/>
      <c r="Q19" s="456"/>
      <c r="R19" s="456"/>
      <c r="S19" s="456"/>
      <c r="T19" s="456"/>
      <c r="U19" s="456"/>
      <c r="V19" s="456"/>
      <c r="W19" s="456"/>
      <c r="X19" s="456"/>
      <c r="Y19" s="456">
        <f t="shared" si="0"/>
        <v>257079</v>
      </c>
      <c r="Z19" s="457">
        <v>815000</v>
      </c>
      <c r="AA19" s="468" t="s">
        <v>2020</v>
      </c>
      <c r="AB19" s="459">
        <v>44232</v>
      </c>
      <c r="AC19" s="464">
        <v>44251</v>
      </c>
      <c r="AD19" s="470"/>
      <c r="AE19" s="469"/>
      <c r="AF19" s="463"/>
      <c r="AG19" s="464"/>
      <c r="AH19" s="470"/>
      <c r="AI19" s="468"/>
      <c r="AJ19" s="463"/>
      <c r="AK19" s="464"/>
      <c r="AL19" s="470"/>
      <c r="AM19" s="468"/>
      <c r="AN19" s="463"/>
      <c r="AO19" s="464"/>
      <c r="AP19" s="470"/>
      <c r="AQ19" s="468"/>
      <c r="AR19" s="463"/>
      <c r="AS19" s="464"/>
      <c r="AT19" s="37">
        <f t="shared" si="1"/>
        <v>815000</v>
      </c>
      <c r="AU19" s="465">
        <f t="shared" si="2"/>
        <v>557921</v>
      </c>
      <c r="AV19" s="466"/>
    </row>
    <row r="20" spans="2:48" s="26" customFormat="1" x14ac:dyDescent="0.2">
      <c r="B20" s="27">
        <f t="shared" ref="B20:B83" si="3">+B19+1</f>
        <v>4</v>
      </c>
      <c r="C20" s="447" t="s">
        <v>39</v>
      </c>
      <c r="D20" s="448">
        <v>20160270</v>
      </c>
      <c r="E20" s="449" t="s">
        <v>2031</v>
      </c>
      <c r="F20" s="450" t="s">
        <v>147</v>
      </c>
      <c r="G20" s="451" t="s">
        <v>2025</v>
      </c>
      <c r="H20" s="451" t="s">
        <v>2032</v>
      </c>
      <c r="I20" s="452" t="s">
        <v>57</v>
      </c>
      <c r="J20" s="453">
        <v>1814141</v>
      </c>
      <c r="K20" s="454">
        <v>1274050</v>
      </c>
      <c r="L20" s="455">
        <v>4</v>
      </c>
      <c r="M20" s="456">
        <v>0</v>
      </c>
      <c r="N20" s="456">
        <v>0</v>
      </c>
      <c r="O20" s="456">
        <v>0</v>
      </c>
      <c r="P20" s="456"/>
      <c r="Q20" s="456"/>
      <c r="R20" s="456"/>
      <c r="S20" s="456"/>
      <c r="T20" s="456"/>
      <c r="U20" s="456"/>
      <c r="V20" s="456"/>
      <c r="W20" s="456"/>
      <c r="X20" s="456"/>
      <c r="Y20" s="456">
        <f t="shared" si="0"/>
        <v>0</v>
      </c>
      <c r="Z20" s="457">
        <v>538904</v>
      </c>
      <c r="AA20" s="458" t="s">
        <v>144</v>
      </c>
      <c r="AB20" s="459">
        <v>44224</v>
      </c>
      <c r="AC20" s="460">
        <v>44251</v>
      </c>
      <c r="AD20" s="457"/>
      <c r="AE20" s="461"/>
      <c r="AF20" s="462"/>
      <c r="AG20" s="460"/>
      <c r="AH20" s="457"/>
      <c r="AI20" s="458"/>
      <c r="AJ20" s="462"/>
      <c r="AK20" s="460"/>
      <c r="AL20" s="457"/>
      <c r="AM20" s="458"/>
      <c r="AN20" s="462"/>
      <c r="AO20" s="460"/>
      <c r="AP20" s="457"/>
      <c r="AQ20" s="458"/>
      <c r="AR20" s="463"/>
      <c r="AS20" s="464"/>
      <c r="AT20" s="37">
        <f t="shared" si="1"/>
        <v>538904</v>
      </c>
      <c r="AU20" s="465">
        <f t="shared" si="2"/>
        <v>538904</v>
      </c>
      <c r="AV20" s="466"/>
    </row>
    <row r="21" spans="2:48" s="26" customFormat="1" ht="22.5" x14ac:dyDescent="0.2">
      <c r="B21" s="27">
        <f t="shared" si="3"/>
        <v>5</v>
      </c>
      <c r="C21" s="447" t="s">
        <v>39</v>
      </c>
      <c r="D21" s="448">
        <v>20160278</v>
      </c>
      <c r="E21" s="449" t="s">
        <v>2033</v>
      </c>
      <c r="F21" s="450" t="s">
        <v>193</v>
      </c>
      <c r="G21" s="451" t="s">
        <v>2025</v>
      </c>
      <c r="H21" s="451" t="s">
        <v>2034</v>
      </c>
      <c r="I21" s="452" t="s">
        <v>72</v>
      </c>
      <c r="J21" s="453">
        <v>78047</v>
      </c>
      <c r="K21" s="454">
        <v>0</v>
      </c>
      <c r="L21" s="455">
        <v>1718</v>
      </c>
      <c r="M21" s="456">
        <v>0</v>
      </c>
      <c r="N21" s="456">
        <v>0</v>
      </c>
      <c r="O21" s="456">
        <v>0</v>
      </c>
      <c r="P21" s="456"/>
      <c r="Q21" s="456"/>
      <c r="R21" s="456"/>
      <c r="S21" s="456"/>
      <c r="T21" s="456"/>
      <c r="U21" s="456"/>
      <c r="V21" s="456"/>
      <c r="W21" s="456"/>
      <c r="X21" s="456"/>
      <c r="Y21" s="456">
        <f t="shared" si="0"/>
        <v>0</v>
      </c>
      <c r="Z21" s="457">
        <v>38165</v>
      </c>
      <c r="AA21" s="468" t="s">
        <v>144</v>
      </c>
      <c r="AB21" s="459">
        <v>44224</v>
      </c>
      <c r="AC21" s="464">
        <v>44251</v>
      </c>
      <c r="AD21" s="457"/>
      <c r="AE21" s="469"/>
      <c r="AF21" s="463"/>
      <c r="AG21" s="464"/>
      <c r="AH21" s="457"/>
      <c r="AI21" s="468"/>
      <c r="AJ21" s="463"/>
      <c r="AK21" s="464"/>
      <c r="AL21" s="457"/>
      <c r="AM21" s="468"/>
      <c r="AN21" s="463"/>
      <c r="AO21" s="464"/>
      <c r="AP21" s="457"/>
      <c r="AQ21" s="468"/>
      <c r="AR21" s="463"/>
      <c r="AS21" s="464"/>
      <c r="AT21" s="37">
        <f t="shared" si="1"/>
        <v>38165</v>
      </c>
      <c r="AU21" s="465">
        <f t="shared" si="2"/>
        <v>38165</v>
      </c>
      <c r="AV21" s="466"/>
    </row>
    <row r="22" spans="2:48" s="26" customFormat="1" x14ac:dyDescent="0.2">
      <c r="B22" s="27">
        <f t="shared" si="3"/>
        <v>6</v>
      </c>
      <c r="C22" s="447" t="s">
        <v>39</v>
      </c>
      <c r="D22" s="448">
        <v>20167712</v>
      </c>
      <c r="E22" s="449" t="s">
        <v>2035</v>
      </c>
      <c r="F22" s="450" t="s">
        <v>147</v>
      </c>
      <c r="G22" s="451" t="s">
        <v>2025</v>
      </c>
      <c r="H22" s="451" t="s">
        <v>2036</v>
      </c>
      <c r="I22" s="452" t="s">
        <v>57</v>
      </c>
      <c r="J22" s="453">
        <v>1148821</v>
      </c>
      <c r="K22" s="471">
        <v>16316</v>
      </c>
      <c r="L22" s="455">
        <v>907503</v>
      </c>
      <c r="M22" s="456">
        <v>0</v>
      </c>
      <c r="N22" s="456">
        <v>0</v>
      </c>
      <c r="O22" s="456">
        <v>0</v>
      </c>
      <c r="P22" s="456"/>
      <c r="Q22" s="456"/>
      <c r="R22" s="456"/>
      <c r="S22" s="456"/>
      <c r="T22" s="456"/>
      <c r="U22" s="456"/>
      <c r="V22" s="456"/>
      <c r="W22" s="456"/>
      <c r="X22" s="456"/>
      <c r="Y22" s="456">
        <f t="shared" si="0"/>
        <v>0</v>
      </c>
      <c r="Z22" s="457">
        <v>210002</v>
      </c>
      <c r="AA22" s="468" t="s">
        <v>2037</v>
      </c>
      <c r="AB22" s="459">
        <v>44222</v>
      </c>
      <c r="AC22" s="464">
        <v>44225</v>
      </c>
      <c r="AD22" s="457"/>
      <c r="AE22" s="469"/>
      <c r="AF22" s="463"/>
      <c r="AG22" s="464"/>
      <c r="AH22" s="457"/>
      <c r="AI22" s="468"/>
      <c r="AJ22" s="463"/>
      <c r="AK22" s="464"/>
      <c r="AL22" s="457"/>
      <c r="AM22" s="468"/>
      <c r="AN22" s="463"/>
      <c r="AO22" s="464"/>
      <c r="AP22" s="457"/>
      <c r="AQ22" s="468"/>
      <c r="AR22" s="463"/>
      <c r="AS22" s="464"/>
      <c r="AT22" s="37">
        <f t="shared" si="1"/>
        <v>210002</v>
      </c>
      <c r="AU22" s="465">
        <f t="shared" si="2"/>
        <v>210002</v>
      </c>
      <c r="AV22" s="466"/>
    </row>
    <row r="23" spans="2:48" s="26" customFormat="1" x14ac:dyDescent="0.2">
      <c r="B23" s="27">
        <f t="shared" si="3"/>
        <v>7</v>
      </c>
      <c r="C23" s="447" t="s">
        <v>39</v>
      </c>
      <c r="D23" s="448">
        <v>20177920</v>
      </c>
      <c r="E23" s="449" t="s">
        <v>2038</v>
      </c>
      <c r="F23" s="450" t="s">
        <v>193</v>
      </c>
      <c r="G23" s="451" t="s">
        <v>2025</v>
      </c>
      <c r="H23" s="451" t="s">
        <v>2026</v>
      </c>
      <c r="I23" s="452" t="s">
        <v>72</v>
      </c>
      <c r="J23" s="453">
        <v>44990</v>
      </c>
      <c r="K23" s="454">
        <v>0</v>
      </c>
      <c r="L23" s="455">
        <v>990</v>
      </c>
      <c r="M23" s="456">
        <v>0</v>
      </c>
      <c r="N23" s="456">
        <v>0</v>
      </c>
      <c r="O23" s="456">
        <v>0</v>
      </c>
      <c r="P23" s="456"/>
      <c r="Q23" s="456"/>
      <c r="R23" s="456"/>
      <c r="S23" s="456"/>
      <c r="T23" s="456"/>
      <c r="U23" s="456"/>
      <c r="V23" s="456"/>
      <c r="W23" s="456"/>
      <c r="X23" s="456"/>
      <c r="Y23" s="456">
        <f t="shared" si="0"/>
        <v>0</v>
      </c>
      <c r="Z23" s="457">
        <v>22000</v>
      </c>
      <c r="AA23" s="468" t="s">
        <v>144</v>
      </c>
      <c r="AB23" s="459">
        <v>44224</v>
      </c>
      <c r="AC23" s="464">
        <v>44251</v>
      </c>
      <c r="AD23" s="457"/>
      <c r="AE23" s="469"/>
      <c r="AF23" s="463"/>
      <c r="AG23" s="464"/>
      <c r="AH23" s="457"/>
      <c r="AI23" s="468"/>
      <c r="AJ23" s="463"/>
      <c r="AK23" s="464"/>
      <c r="AL23" s="457"/>
      <c r="AM23" s="468"/>
      <c r="AN23" s="463"/>
      <c r="AO23" s="464"/>
      <c r="AP23" s="457"/>
      <c r="AQ23" s="468"/>
      <c r="AR23" s="463"/>
      <c r="AS23" s="464"/>
      <c r="AT23" s="37">
        <f t="shared" si="1"/>
        <v>22000</v>
      </c>
      <c r="AU23" s="465">
        <f t="shared" si="2"/>
        <v>22000</v>
      </c>
      <c r="AV23" s="466"/>
    </row>
    <row r="24" spans="2:48" s="26" customFormat="1" x14ac:dyDescent="0.2">
      <c r="B24" s="27">
        <f t="shared" si="3"/>
        <v>8</v>
      </c>
      <c r="C24" s="447" t="s">
        <v>39</v>
      </c>
      <c r="D24" s="448">
        <v>20178141</v>
      </c>
      <c r="E24" s="449" t="s">
        <v>2039</v>
      </c>
      <c r="F24" s="450" t="s">
        <v>193</v>
      </c>
      <c r="G24" s="451" t="s">
        <v>2025</v>
      </c>
      <c r="H24" s="472" t="s">
        <v>2040</v>
      </c>
      <c r="I24" s="452" t="s">
        <v>57</v>
      </c>
      <c r="J24" s="453">
        <v>49222</v>
      </c>
      <c r="K24" s="454">
        <v>12512</v>
      </c>
      <c r="L24" s="455">
        <v>0</v>
      </c>
      <c r="M24" s="456">
        <v>0</v>
      </c>
      <c r="N24" s="456">
        <v>0</v>
      </c>
      <c r="O24" s="456">
        <v>0</v>
      </c>
      <c r="P24" s="456"/>
      <c r="Q24" s="456"/>
      <c r="R24" s="456"/>
      <c r="S24" s="456"/>
      <c r="T24" s="456"/>
      <c r="U24" s="456"/>
      <c r="V24" s="456"/>
      <c r="W24" s="456"/>
      <c r="X24" s="456"/>
      <c r="Y24" s="456">
        <f t="shared" si="0"/>
        <v>0</v>
      </c>
      <c r="Z24" s="457">
        <v>36710</v>
      </c>
      <c r="AA24" s="468" t="s">
        <v>144</v>
      </c>
      <c r="AB24" s="459">
        <v>44224</v>
      </c>
      <c r="AC24" s="464">
        <v>44251</v>
      </c>
      <c r="AD24" s="457"/>
      <c r="AE24" s="469"/>
      <c r="AF24" s="463"/>
      <c r="AG24" s="464"/>
      <c r="AH24" s="457"/>
      <c r="AI24" s="468"/>
      <c r="AJ24" s="463"/>
      <c r="AK24" s="464"/>
      <c r="AL24" s="457"/>
      <c r="AM24" s="468"/>
      <c r="AN24" s="463"/>
      <c r="AO24" s="464"/>
      <c r="AP24" s="457"/>
      <c r="AQ24" s="468"/>
      <c r="AR24" s="463"/>
      <c r="AS24" s="464"/>
      <c r="AT24" s="37">
        <f t="shared" si="1"/>
        <v>36710</v>
      </c>
      <c r="AU24" s="465">
        <f t="shared" si="2"/>
        <v>36710</v>
      </c>
      <c r="AV24" s="466"/>
    </row>
    <row r="25" spans="2:48" s="26" customFormat="1" x14ac:dyDescent="0.2">
      <c r="B25" s="27">
        <f t="shared" si="3"/>
        <v>9</v>
      </c>
      <c r="C25" s="447" t="s">
        <v>39</v>
      </c>
      <c r="D25" s="448">
        <v>20189195</v>
      </c>
      <c r="E25" s="449" t="s">
        <v>2041</v>
      </c>
      <c r="F25" s="450" t="s">
        <v>147</v>
      </c>
      <c r="G25" s="451" t="s">
        <v>2025</v>
      </c>
      <c r="H25" s="472" t="s">
        <v>2042</v>
      </c>
      <c r="I25" s="452" t="s">
        <v>72</v>
      </c>
      <c r="J25" s="453">
        <v>751944</v>
      </c>
      <c r="K25" s="454">
        <v>0</v>
      </c>
      <c r="L25" s="455">
        <v>10156</v>
      </c>
      <c r="M25" s="456">
        <v>0</v>
      </c>
      <c r="N25" s="456">
        <v>0</v>
      </c>
      <c r="O25" s="456">
        <v>138164</v>
      </c>
      <c r="P25" s="456"/>
      <c r="Q25" s="456"/>
      <c r="R25" s="456"/>
      <c r="S25" s="456"/>
      <c r="T25" s="456"/>
      <c r="U25" s="456"/>
      <c r="V25" s="456"/>
      <c r="W25" s="456"/>
      <c r="X25" s="456"/>
      <c r="Y25" s="456">
        <f t="shared" si="0"/>
        <v>138164</v>
      </c>
      <c r="Z25" s="457">
        <v>741788</v>
      </c>
      <c r="AA25" s="468" t="s">
        <v>144</v>
      </c>
      <c r="AB25" s="459">
        <v>44224</v>
      </c>
      <c r="AC25" s="464">
        <v>44251</v>
      </c>
      <c r="AD25" s="457"/>
      <c r="AE25" s="469"/>
      <c r="AF25" s="463"/>
      <c r="AG25" s="464"/>
      <c r="AH25" s="457"/>
      <c r="AI25" s="468"/>
      <c r="AJ25" s="463"/>
      <c r="AK25" s="464"/>
      <c r="AL25" s="457"/>
      <c r="AM25" s="468"/>
      <c r="AN25" s="463"/>
      <c r="AO25" s="464"/>
      <c r="AP25" s="457"/>
      <c r="AQ25" s="468"/>
      <c r="AR25" s="463"/>
      <c r="AS25" s="464"/>
      <c r="AT25" s="37">
        <f t="shared" si="1"/>
        <v>741788</v>
      </c>
      <c r="AU25" s="465">
        <f t="shared" si="2"/>
        <v>603624</v>
      </c>
      <c r="AV25" s="466"/>
    </row>
    <row r="26" spans="2:48" s="26" customFormat="1" x14ac:dyDescent="0.2">
      <c r="B26" s="27">
        <f t="shared" si="3"/>
        <v>10</v>
      </c>
      <c r="C26" s="447" t="s">
        <v>39</v>
      </c>
      <c r="D26" s="448">
        <v>30005793</v>
      </c>
      <c r="E26" s="449" t="s">
        <v>2043</v>
      </c>
      <c r="F26" s="450" t="s">
        <v>193</v>
      </c>
      <c r="G26" s="451" t="s">
        <v>2025</v>
      </c>
      <c r="H26" s="472" t="s">
        <v>2044</v>
      </c>
      <c r="I26" s="452" t="s">
        <v>72</v>
      </c>
      <c r="J26" s="453">
        <v>51824</v>
      </c>
      <c r="K26" s="471">
        <v>0</v>
      </c>
      <c r="L26" s="455">
        <v>50775</v>
      </c>
      <c r="M26" s="456">
        <v>0</v>
      </c>
      <c r="N26" s="456">
        <v>0</v>
      </c>
      <c r="O26" s="456">
        <v>0</v>
      </c>
      <c r="P26" s="456"/>
      <c r="Q26" s="456"/>
      <c r="R26" s="456"/>
      <c r="S26" s="456"/>
      <c r="T26" s="456"/>
      <c r="U26" s="456"/>
      <c r="V26" s="456"/>
      <c r="W26" s="456"/>
      <c r="X26" s="456"/>
      <c r="Y26" s="456">
        <f t="shared" si="0"/>
        <v>0</v>
      </c>
      <c r="Z26" s="457">
        <v>1030</v>
      </c>
      <c r="AA26" s="468" t="s">
        <v>2037</v>
      </c>
      <c r="AB26" s="459">
        <v>44222</v>
      </c>
      <c r="AC26" s="464">
        <v>44225</v>
      </c>
      <c r="AD26" s="457"/>
      <c r="AE26" s="469"/>
      <c r="AF26" s="463"/>
      <c r="AG26" s="464"/>
      <c r="AH26" s="457"/>
      <c r="AI26" s="468"/>
      <c r="AJ26" s="463"/>
      <c r="AK26" s="464"/>
      <c r="AL26" s="457"/>
      <c r="AM26" s="468"/>
      <c r="AN26" s="463"/>
      <c r="AO26" s="464"/>
      <c r="AP26" s="457"/>
      <c r="AQ26" s="468"/>
      <c r="AR26" s="463"/>
      <c r="AS26" s="464"/>
      <c r="AT26" s="37">
        <f t="shared" si="1"/>
        <v>1030</v>
      </c>
      <c r="AU26" s="465">
        <f t="shared" si="2"/>
        <v>1030</v>
      </c>
      <c r="AV26" s="466"/>
    </row>
    <row r="27" spans="2:48" s="26" customFormat="1" x14ac:dyDescent="0.2">
      <c r="B27" s="27">
        <f t="shared" si="3"/>
        <v>11</v>
      </c>
      <c r="C27" s="447" t="s">
        <v>39</v>
      </c>
      <c r="D27" s="448">
        <v>30036236</v>
      </c>
      <c r="E27" s="449" t="s">
        <v>2045</v>
      </c>
      <c r="F27" s="450" t="s">
        <v>193</v>
      </c>
      <c r="G27" s="451" t="s">
        <v>2025</v>
      </c>
      <c r="H27" s="472" t="s">
        <v>2046</v>
      </c>
      <c r="I27" s="452" t="s">
        <v>57</v>
      </c>
      <c r="J27" s="453">
        <v>80501</v>
      </c>
      <c r="K27" s="454">
        <v>35238</v>
      </c>
      <c r="L27" s="455">
        <v>0</v>
      </c>
      <c r="M27" s="456">
        <v>0</v>
      </c>
      <c r="N27" s="456">
        <v>0</v>
      </c>
      <c r="O27" s="456">
        <v>0</v>
      </c>
      <c r="P27" s="456"/>
      <c r="Q27" s="456"/>
      <c r="R27" s="456"/>
      <c r="S27" s="456"/>
      <c r="T27" s="456"/>
      <c r="U27" s="456"/>
      <c r="V27" s="456"/>
      <c r="W27" s="456"/>
      <c r="X27" s="456"/>
      <c r="Y27" s="456">
        <f t="shared" si="0"/>
        <v>0</v>
      </c>
      <c r="Z27" s="457">
        <v>45263</v>
      </c>
      <c r="AA27" s="468" t="s">
        <v>144</v>
      </c>
      <c r="AB27" s="459">
        <v>44224</v>
      </c>
      <c r="AC27" s="464">
        <v>44251</v>
      </c>
      <c r="AD27" s="457"/>
      <c r="AE27" s="469"/>
      <c r="AF27" s="463"/>
      <c r="AG27" s="464"/>
      <c r="AH27" s="457"/>
      <c r="AI27" s="468"/>
      <c r="AJ27" s="463"/>
      <c r="AK27" s="464"/>
      <c r="AL27" s="457"/>
      <c r="AM27" s="468"/>
      <c r="AN27" s="463"/>
      <c r="AO27" s="464"/>
      <c r="AP27" s="457"/>
      <c r="AQ27" s="468"/>
      <c r="AR27" s="463"/>
      <c r="AS27" s="464"/>
      <c r="AT27" s="37">
        <f t="shared" si="1"/>
        <v>45263</v>
      </c>
      <c r="AU27" s="465">
        <f t="shared" si="2"/>
        <v>45263</v>
      </c>
      <c r="AV27" s="466"/>
    </row>
    <row r="28" spans="2:48" s="26" customFormat="1" x14ac:dyDescent="0.2">
      <c r="B28" s="27">
        <f t="shared" si="3"/>
        <v>12</v>
      </c>
      <c r="C28" s="447" t="s">
        <v>39</v>
      </c>
      <c r="D28" s="448">
        <v>30036878</v>
      </c>
      <c r="E28" s="449" t="s">
        <v>2047</v>
      </c>
      <c r="F28" s="450" t="s">
        <v>193</v>
      </c>
      <c r="G28" s="451" t="s">
        <v>2025</v>
      </c>
      <c r="H28" s="472" t="s">
        <v>2048</v>
      </c>
      <c r="I28" s="452" t="s">
        <v>72</v>
      </c>
      <c r="J28" s="453">
        <v>140886</v>
      </c>
      <c r="K28" s="471">
        <v>0</v>
      </c>
      <c r="L28" s="455">
        <v>116769</v>
      </c>
      <c r="M28" s="456">
        <v>0</v>
      </c>
      <c r="N28" s="456">
        <v>0</v>
      </c>
      <c r="O28" s="456">
        <v>0</v>
      </c>
      <c r="P28" s="456"/>
      <c r="Q28" s="456"/>
      <c r="R28" s="456"/>
      <c r="S28" s="456"/>
      <c r="T28" s="456"/>
      <c r="U28" s="456"/>
      <c r="V28" s="456"/>
      <c r="W28" s="456"/>
      <c r="X28" s="456"/>
      <c r="Y28" s="456">
        <f t="shared" si="0"/>
        <v>0</v>
      </c>
      <c r="Z28" s="457">
        <v>20450</v>
      </c>
      <c r="AA28" s="468" t="s">
        <v>2037</v>
      </c>
      <c r="AB28" s="459">
        <v>44222</v>
      </c>
      <c r="AC28" s="464">
        <v>44225</v>
      </c>
      <c r="AD28" s="467">
        <v>1000</v>
      </c>
      <c r="AE28" s="469">
        <v>15</v>
      </c>
      <c r="AF28" s="464">
        <v>44259</v>
      </c>
      <c r="AG28" s="464">
        <v>44274</v>
      </c>
      <c r="AH28" s="467"/>
      <c r="AI28" s="468"/>
      <c r="AJ28" s="464"/>
      <c r="AK28" s="464"/>
      <c r="AL28" s="457"/>
      <c r="AM28" s="468"/>
      <c r="AN28" s="463"/>
      <c r="AO28" s="464"/>
      <c r="AP28" s="457"/>
      <c r="AQ28" s="468"/>
      <c r="AR28" s="463"/>
      <c r="AS28" s="464"/>
      <c r="AT28" s="37">
        <f t="shared" si="1"/>
        <v>21450</v>
      </c>
      <c r="AU28" s="465">
        <f t="shared" si="2"/>
        <v>21450</v>
      </c>
      <c r="AV28" s="466"/>
    </row>
    <row r="29" spans="2:48" s="26" customFormat="1" ht="12" thickBot="1" x14ac:dyDescent="0.25">
      <c r="B29" s="27">
        <f t="shared" si="3"/>
        <v>13</v>
      </c>
      <c r="C29" s="447" t="s">
        <v>39</v>
      </c>
      <c r="D29" s="448">
        <v>30043540</v>
      </c>
      <c r="E29" s="449" t="s">
        <v>2049</v>
      </c>
      <c r="F29" s="450" t="s">
        <v>147</v>
      </c>
      <c r="G29" s="451" t="s">
        <v>2025</v>
      </c>
      <c r="H29" s="472" t="s">
        <v>2048</v>
      </c>
      <c r="I29" s="452" t="s">
        <v>57</v>
      </c>
      <c r="J29" s="453">
        <v>767858</v>
      </c>
      <c r="K29" s="467">
        <v>479949</v>
      </c>
      <c r="L29" s="456">
        <v>0</v>
      </c>
      <c r="M29" s="456">
        <v>0</v>
      </c>
      <c r="N29" s="456">
        <v>0</v>
      </c>
      <c r="O29" s="456">
        <v>0</v>
      </c>
      <c r="P29" s="456"/>
      <c r="Q29" s="456"/>
      <c r="R29" s="456"/>
      <c r="S29" s="456"/>
      <c r="T29" s="456"/>
      <c r="U29" s="456"/>
      <c r="V29" s="456"/>
      <c r="W29" s="456"/>
      <c r="X29" s="456"/>
      <c r="Y29" s="456">
        <f t="shared" si="0"/>
        <v>0</v>
      </c>
      <c r="Z29" s="457">
        <v>1</v>
      </c>
      <c r="AA29" s="468" t="s">
        <v>2020</v>
      </c>
      <c r="AB29" s="459">
        <v>44232</v>
      </c>
      <c r="AC29" s="464">
        <v>44251</v>
      </c>
      <c r="AD29" s="457"/>
      <c r="AE29" s="469"/>
      <c r="AF29" s="463"/>
      <c r="AG29" s="464"/>
      <c r="AH29" s="457"/>
      <c r="AI29" s="468"/>
      <c r="AJ29" s="463"/>
      <c r="AK29" s="464"/>
      <c r="AL29" s="457"/>
      <c r="AM29" s="468"/>
      <c r="AN29" s="463"/>
      <c r="AO29" s="464"/>
      <c r="AP29" s="457"/>
      <c r="AQ29" s="468"/>
      <c r="AR29" s="463"/>
      <c r="AS29" s="464"/>
      <c r="AT29" s="37">
        <f t="shared" si="1"/>
        <v>1</v>
      </c>
      <c r="AU29" s="465">
        <f t="shared" si="2"/>
        <v>1</v>
      </c>
      <c r="AV29" s="466"/>
    </row>
    <row r="30" spans="2:48" s="26" customFormat="1" x14ac:dyDescent="0.2">
      <c r="B30" s="27">
        <f t="shared" si="3"/>
        <v>14</v>
      </c>
      <c r="C30" s="447" t="s">
        <v>39</v>
      </c>
      <c r="D30" s="448">
        <v>30044470</v>
      </c>
      <c r="E30" s="449" t="s">
        <v>2050</v>
      </c>
      <c r="F30" s="450" t="s">
        <v>147</v>
      </c>
      <c r="G30" s="451" t="s">
        <v>2025</v>
      </c>
      <c r="H30" s="472" t="s">
        <v>2051</v>
      </c>
      <c r="I30" s="452" t="s">
        <v>57</v>
      </c>
      <c r="J30" s="453">
        <v>4393917</v>
      </c>
      <c r="K30" s="473">
        <v>3108381</v>
      </c>
      <c r="L30" s="456">
        <v>0</v>
      </c>
      <c r="M30" s="456">
        <v>0</v>
      </c>
      <c r="N30" s="456">
        <v>284904</v>
      </c>
      <c r="O30" s="456">
        <v>153010</v>
      </c>
      <c r="P30" s="456"/>
      <c r="Q30" s="456"/>
      <c r="R30" s="456"/>
      <c r="S30" s="456"/>
      <c r="T30" s="456"/>
      <c r="U30" s="456"/>
      <c r="V30" s="456"/>
      <c r="W30" s="456"/>
      <c r="X30" s="456"/>
      <c r="Y30" s="456">
        <f t="shared" si="0"/>
        <v>437914</v>
      </c>
      <c r="Z30" s="457">
        <v>1166896</v>
      </c>
      <c r="AA30" s="468" t="s">
        <v>2020</v>
      </c>
      <c r="AB30" s="459">
        <v>44232</v>
      </c>
      <c r="AC30" s="464">
        <v>44251</v>
      </c>
      <c r="AD30" s="457"/>
      <c r="AE30" s="469"/>
      <c r="AF30" s="463"/>
      <c r="AG30" s="464"/>
      <c r="AH30" s="457"/>
      <c r="AI30" s="468"/>
      <c r="AJ30" s="463"/>
      <c r="AK30" s="464"/>
      <c r="AL30" s="457"/>
      <c r="AM30" s="468"/>
      <c r="AN30" s="463"/>
      <c r="AO30" s="464"/>
      <c r="AP30" s="457"/>
      <c r="AQ30" s="468"/>
      <c r="AR30" s="463"/>
      <c r="AS30" s="464"/>
      <c r="AT30" s="37">
        <f t="shared" si="1"/>
        <v>1166896</v>
      </c>
      <c r="AU30" s="465">
        <f t="shared" si="2"/>
        <v>728982</v>
      </c>
      <c r="AV30" s="466"/>
    </row>
    <row r="31" spans="2:48" s="26" customFormat="1" x14ac:dyDescent="0.2">
      <c r="B31" s="27">
        <f t="shared" si="3"/>
        <v>15</v>
      </c>
      <c r="C31" s="447" t="s">
        <v>39</v>
      </c>
      <c r="D31" s="448">
        <v>30045256</v>
      </c>
      <c r="E31" s="449" t="s">
        <v>2052</v>
      </c>
      <c r="F31" s="450" t="s">
        <v>147</v>
      </c>
      <c r="G31" s="451" t="s">
        <v>2025</v>
      </c>
      <c r="H31" s="472" t="s">
        <v>2053</v>
      </c>
      <c r="I31" s="452" t="s">
        <v>57</v>
      </c>
      <c r="J31" s="453">
        <v>1954072</v>
      </c>
      <c r="K31" s="454">
        <v>787325</v>
      </c>
      <c r="L31" s="455">
        <v>2</v>
      </c>
      <c r="M31" s="456">
        <v>0</v>
      </c>
      <c r="N31" s="456">
        <v>331303</v>
      </c>
      <c r="O31" s="456">
        <v>171979</v>
      </c>
      <c r="P31" s="456"/>
      <c r="Q31" s="456"/>
      <c r="R31" s="456"/>
      <c r="S31" s="456"/>
      <c r="T31" s="456"/>
      <c r="U31" s="456"/>
      <c r="V31" s="456"/>
      <c r="W31" s="456"/>
      <c r="X31" s="456"/>
      <c r="Y31" s="456">
        <f t="shared" si="0"/>
        <v>503282</v>
      </c>
      <c r="Z31" s="457">
        <v>1166745</v>
      </c>
      <c r="AA31" s="468" t="s">
        <v>144</v>
      </c>
      <c r="AB31" s="459">
        <v>44224</v>
      </c>
      <c r="AC31" s="464">
        <v>44251</v>
      </c>
      <c r="AD31" s="457"/>
      <c r="AE31" s="469"/>
      <c r="AF31" s="463"/>
      <c r="AG31" s="464"/>
      <c r="AH31" s="457"/>
      <c r="AI31" s="468"/>
      <c r="AJ31" s="463"/>
      <c r="AK31" s="464"/>
      <c r="AL31" s="457"/>
      <c r="AM31" s="468"/>
      <c r="AN31" s="463"/>
      <c r="AO31" s="464"/>
      <c r="AP31" s="457"/>
      <c r="AQ31" s="468"/>
      <c r="AR31" s="463"/>
      <c r="AS31" s="464"/>
      <c r="AT31" s="37">
        <f t="shared" si="1"/>
        <v>1166745</v>
      </c>
      <c r="AU31" s="465">
        <f t="shared" si="2"/>
        <v>663463</v>
      </c>
      <c r="AV31" s="466"/>
    </row>
    <row r="32" spans="2:48" s="26" customFormat="1" x14ac:dyDescent="0.2">
      <c r="B32" s="27">
        <f t="shared" si="3"/>
        <v>16</v>
      </c>
      <c r="C32" s="447" t="s">
        <v>39</v>
      </c>
      <c r="D32" s="448">
        <v>30057859</v>
      </c>
      <c r="E32" s="449" t="s">
        <v>2054</v>
      </c>
      <c r="F32" s="450" t="s">
        <v>193</v>
      </c>
      <c r="G32" s="451" t="s">
        <v>2025</v>
      </c>
      <c r="H32" s="472" t="s">
        <v>2034</v>
      </c>
      <c r="I32" s="452" t="s">
        <v>57</v>
      </c>
      <c r="J32" s="453">
        <v>36106</v>
      </c>
      <c r="K32" s="454">
        <v>12820</v>
      </c>
      <c r="L32" s="455">
        <v>1</v>
      </c>
      <c r="M32" s="456">
        <v>0</v>
      </c>
      <c r="N32" s="456">
        <v>0</v>
      </c>
      <c r="O32" s="456">
        <v>0</v>
      </c>
      <c r="P32" s="456"/>
      <c r="Q32" s="456"/>
      <c r="R32" s="456"/>
      <c r="S32" s="456"/>
      <c r="T32" s="456"/>
      <c r="U32" s="456"/>
      <c r="V32" s="456"/>
      <c r="W32" s="456"/>
      <c r="X32" s="456"/>
      <c r="Y32" s="456">
        <f t="shared" si="0"/>
        <v>0</v>
      </c>
      <c r="Z32" s="457">
        <v>23285</v>
      </c>
      <c r="AA32" s="468" t="s">
        <v>144</v>
      </c>
      <c r="AB32" s="459">
        <v>44224</v>
      </c>
      <c r="AC32" s="464">
        <v>44251</v>
      </c>
      <c r="AD32" s="457"/>
      <c r="AE32" s="469"/>
      <c r="AF32" s="463"/>
      <c r="AG32" s="464"/>
      <c r="AH32" s="457"/>
      <c r="AI32" s="468"/>
      <c r="AJ32" s="463"/>
      <c r="AK32" s="464"/>
      <c r="AL32" s="457"/>
      <c r="AM32" s="468"/>
      <c r="AN32" s="463"/>
      <c r="AO32" s="464"/>
      <c r="AP32" s="457"/>
      <c r="AQ32" s="468"/>
      <c r="AR32" s="463"/>
      <c r="AS32" s="464"/>
      <c r="AT32" s="37">
        <f t="shared" si="1"/>
        <v>23285</v>
      </c>
      <c r="AU32" s="465">
        <f t="shared" si="2"/>
        <v>23285</v>
      </c>
      <c r="AV32" s="466"/>
    </row>
    <row r="33" spans="1:48" s="26" customFormat="1" x14ac:dyDescent="0.2">
      <c r="A33" s="474"/>
      <c r="B33" s="447">
        <f t="shared" si="3"/>
        <v>17</v>
      </c>
      <c r="C33" s="447" t="s">
        <v>39</v>
      </c>
      <c r="D33" s="448">
        <v>30057931</v>
      </c>
      <c r="E33" s="449" t="s">
        <v>2055</v>
      </c>
      <c r="F33" s="450" t="s">
        <v>147</v>
      </c>
      <c r="G33" s="451" t="s">
        <v>2025</v>
      </c>
      <c r="H33" s="472" t="s">
        <v>2034</v>
      </c>
      <c r="I33" s="452" t="s">
        <v>57</v>
      </c>
      <c r="J33" s="453">
        <v>1995500</v>
      </c>
      <c r="K33" s="454">
        <v>1930799</v>
      </c>
      <c r="L33" s="454">
        <v>0</v>
      </c>
      <c r="M33" s="467">
        <v>0</v>
      </c>
      <c r="N33" s="467">
        <v>59186</v>
      </c>
      <c r="O33" s="467">
        <v>5512</v>
      </c>
      <c r="P33" s="456"/>
      <c r="Q33" s="456"/>
      <c r="R33" s="456"/>
      <c r="S33" s="456"/>
      <c r="T33" s="456"/>
      <c r="U33" s="456"/>
      <c r="V33" s="456"/>
      <c r="W33" s="456"/>
      <c r="X33" s="456"/>
      <c r="Y33" s="456">
        <f t="shared" si="0"/>
        <v>64698</v>
      </c>
      <c r="Z33" s="457">
        <v>64699</v>
      </c>
      <c r="AA33" s="468" t="s">
        <v>144</v>
      </c>
      <c r="AB33" s="459">
        <v>44224</v>
      </c>
      <c r="AC33" s="464">
        <v>44251</v>
      </c>
      <c r="AD33" s="457"/>
      <c r="AE33" s="469"/>
      <c r="AF33" s="463"/>
      <c r="AG33" s="464"/>
      <c r="AH33" s="457"/>
      <c r="AI33" s="468"/>
      <c r="AJ33" s="463"/>
      <c r="AK33" s="464"/>
      <c r="AL33" s="457"/>
      <c r="AM33" s="468"/>
      <c r="AN33" s="463"/>
      <c r="AO33" s="464"/>
      <c r="AP33" s="457"/>
      <c r="AQ33" s="468"/>
      <c r="AR33" s="463"/>
      <c r="AS33" s="464"/>
      <c r="AT33" s="37">
        <f t="shared" si="1"/>
        <v>64699</v>
      </c>
      <c r="AU33" s="465">
        <f t="shared" si="2"/>
        <v>1</v>
      </c>
      <c r="AV33" s="466"/>
    </row>
    <row r="34" spans="1:48" s="26" customFormat="1" x14ac:dyDescent="0.2">
      <c r="A34" s="474"/>
      <c r="B34" s="447">
        <f t="shared" si="3"/>
        <v>18</v>
      </c>
      <c r="C34" s="447" t="s">
        <v>39</v>
      </c>
      <c r="D34" s="448">
        <v>30064328</v>
      </c>
      <c r="E34" s="449" t="s">
        <v>2056</v>
      </c>
      <c r="F34" s="450" t="s">
        <v>147</v>
      </c>
      <c r="G34" s="451" t="s">
        <v>2025</v>
      </c>
      <c r="H34" s="472" t="s">
        <v>2057</v>
      </c>
      <c r="I34" s="452" t="s">
        <v>57</v>
      </c>
      <c r="J34" s="453">
        <v>1881581</v>
      </c>
      <c r="K34" s="454">
        <v>1718618</v>
      </c>
      <c r="L34" s="454">
        <v>0</v>
      </c>
      <c r="M34" s="467">
        <v>0</v>
      </c>
      <c r="N34" s="467">
        <v>0</v>
      </c>
      <c r="O34" s="467">
        <v>54541</v>
      </c>
      <c r="P34" s="456"/>
      <c r="Q34" s="456"/>
      <c r="R34" s="456"/>
      <c r="S34" s="456"/>
      <c r="T34" s="456"/>
      <c r="U34" s="456"/>
      <c r="V34" s="456"/>
      <c r="W34" s="456"/>
      <c r="X34" s="456"/>
      <c r="Y34" s="456">
        <f t="shared" si="0"/>
        <v>54541</v>
      </c>
      <c r="Z34" s="457">
        <v>54542</v>
      </c>
      <c r="AA34" s="468" t="s">
        <v>144</v>
      </c>
      <c r="AB34" s="459">
        <v>44224</v>
      </c>
      <c r="AC34" s="464">
        <v>44251</v>
      </c>
      <c r="AD34" s="457"/>
      <c r="AE34" s="469"/>
      <c r="AF34" s="463"/>
      <c r="AG34" s="464"/>
      <c r="AH34" s="457"/>
      <c r="AI34" s="468"/>
      <c r="AJ34" s="463"/>
      <c r="AK34" s="464"/>
      <c r="AL34" s="457"/>
      <c r="AM34" s="468"/>
      <c r="AN34" s="463"/>
      <c r="AO34" s="464"/>
      <c r="AP34" s="457"/>
      <c r="AQ34" s="468"/>
      <c r="AR34" s="463"/>
      <c r="AS34" s="464"/>
      <c r="AT34" s="37">
        <f t="shared" si="1"/>
        <v>54542</v>
      </c>
      <c r="AU34" s="465">
        <f t="shared" si="2"/>
        <v>1</v>
      </c>
      <c r="AV34" s="466"/>
    </row>
    <row r="35" spans="1:48" s="26" customFormat="1" x14ac:dyDescent="0.2">
      <c r="B35" s="27">
        <f t="shared" si="3"/>
        <v>19</v>
      </c>
      <c r="C35" s="447" t="s">
        <v>39</v>
      </c>
      <c r="D35" s="448">
        <v>30064908</v>
      </c>
      <c r="E35" s="449" t="s">
        <v>2058</v>
      </c>
      <c r="F35" s="450" t="s">
        <v>147</v>
      </c>
      <c r="G35" s="451" t="s">
        <v>2025</v>
      </c>
      <c r="H35" s="472" t="s">
        <v>2034</v>
      </c>
      <c r="I35" s="452" t="s">
        <v>72</v>
      </c>
      <c r="J35" s="453">
        <v>1467056</v>
      </c>
      <c r="K35" s="454">
        <v>0</v>
      </c>
      <c r="L35" s="455">
        <v>32281</v>
      </c>
      <c r="M35" s="456">
        <v>0</v>
      </c>
      <c r="N35" s="456">
        <v>0</v>
      </c>
      <c r="O35" s="456">
        <v>0</v>
      </c>
      <c r="P35" s="456"/>
      <c r="Q35" s="456"/>
      <c r="R35" s="456"/>
      <c r="S35" s="456"/>
      <c r="T35" s="456"/>
      <c r="U35" s="456"/>
      <c r="V35" s="456"/>
      <c r="W35" s="456"/>
      <c r="X35" s="456"/>
      <c r="Y35" s="456">
        <f t="shared" si="0"/>
        <v>0</v>
      </c>
      <c r="Z35" s="457">
        <v>880000</v>
      </c>
      <c r="AA35" s="468" t="s">
        <v>144</v>
      </c>
      <c r="AB35" s="459">
        <v>44224</v>
      </c>
      <c r="AC35" s="464">
        <v>44251</v>
      </c>
      <c r="AD35" s="457"/>
      <c r="AE35" s="469"/>
      <c r="AF35" s="463"/>
      <c r="AG35" s="464"/>
      <c r="AH35" s="457"/>
      <c r="AI35" s="468"/>
      <c r="AJ35" s="463"/>
      <c r="AK35" s="464"/>
      <c r="AL35" s="457"/>
      <c r="AM35" s="468"/>
      <c r="AN35" s="463"/>
      <c r="AO35" s="464"/>
      <c r="AP35" s="457"/>
      <c r="AQ35" s="468"/>
      <c r="AR35" s="463"/>
      <c r="AS35" s="464"/>
      <c r="AT35" s="37">
        <f t="shared" si="1"/>
        <v>880000</v>
      </c>
      <c r="AU35" s="465">
        <f t="shared" si="2"/>
        <v>880000</v>
      </c>
      <c r="AV35" s="466"/>
    </row>
    <row r="36" spans="1:48" s="26" customFormat="1" x14ac:dyDescent="0.2">
      <c r="B36" s="27">
        <f t="shared" si="3"/>
        <v>20</v>
      </c>
      <c r="C36" s="447" t="s">
        <v>39</v>
      </c>
      <c r="D36" s="448">
        <v>30065140</v>
      </c>
      <c r="E36" s="449" t="s">
        <v>2059</v>
      </c>
      <c r="F36" s="450" t="s">
        <v>147</v>
      </c>
      <c r="G36" s="451" t="s">
        <v>2025</v>
      </c>
      <c r="H36" s="472" t="s">
        <v>2044</v>
      </c>
      <c r="I36" s="452" t="s">
        <v>57</v>
      </c>
      <c r="J36" s="454">
        <v>2575426</v>
      </c>
      <c r="K36" s="453">
        <v>2543381</v>
      </c>
      <c r="L36" s="456">
        <v>0</v>
      </c>
      <c r="M36" s="456">
        <v>0</v>
      </c>
      <c r="N36" s="456">
        <v>0</v>
      </c>
      <c r="O36" s="456">
        <v>0</v>
      </c>
      <c r="P36" s="456"/>
      <c r="Q36" s="456"/>
      <c r="R36" s="456"/>
      <c r="S36" s="456"/>
      <c r="T36" s="456"/>
      <c r="U36" s="456"/>
      <c r="V36" s="456"/>
      <c r="W36" s="456"/>
      <c r="X36" s="456"/>
      <c r="Y36" s="456">
        <f t="shared" si="0"/>
        <v>0</v>
      </c>
      <c r="Z36" s="457">
        <v>32045</v>
      </c>
      <c r="AA36" s="468" t="s">
        <v>2060</v>
      </c>
      <c r="AB36" s="459">
        <v>44237</v>
      </c>
      <c r="AC36" s="464">
        <v>44251</v>
      </c>
      <c r="AD36" s="457"/>
      <c r="AE36" s="469"/>
      <c r="AF36" s="463"/>
      <c r="AG36" s="464"/>
      <c r="AH36" s="457"/>
      <c r="AI36" s="468"/>
      <c r="AJ36" s="463"/>
      <c r="AK36" s="464"/>
      <c r="AL36" s="457"/>
      <c r="AM36" s="468"/>
      <c r="AN36" s="463"/>
      <c r="AO36" s="464"/>
      <c r="AP36" s="457"/>
      <c r="AQ36" s="468"/>
      <c r="AR36" s="463"/>
      <c r="AS36" s="464"/>
      <c r="AT36" s="37">
        <f t="shared" si="1"/>
        <v>32045</v>
      </c>
      <c r="AU36" s="465">
        <f t="shared" si="2"/>
        <v>32045</v>
      </c>
      <c r="AV36" s="466"/>
    </row>
    <row r="37" spans="1:48" s="26" customFormat="1" x14ac:dyDescent="0.2">
      <c r="B37" s="27">
        <f t="shared" si="3"/>
        <v>21</v>
      </c>
      <c r="C37" s="447" t="s">
        <v>39</v>
      </c>
      <c r="D37" s="448">
        <v>30065299</v>
      </c>
      <c r="E37" s="449" t="s">
        <v>2061</v>
      </c>
      <c r="F37" s="450" t="s">
        <v>147</v>
      </c>
      <c r="G37" s="451" t="s">
        <v>2025</v>
      </c>
      <c r="H37" s="472" t="s">
        <v>2062</v>
      </c>
      <c r="I37" s="452" t="s">
        <v>57</v>
      </c>
      <c r="J37" s="453">
        <v>479882</v>
      </c>
      <c r="K37" s="467">
        <v>464494</v>
      </c>
      <c r="L37" s="467">
        <v>0</v>
      </c>
      <c r="M37" s="467">
        <v>0</v>
      </c>
      <c r="N37" s="467">
        <v>0</v>
      </c>
      <c r="O37" s="467">
        <v>15048</v>
      </c>
      <c r="P37" s="456"/>
      <c r="Q37" s="456"/>
      <c r="R37" s="456"/>
      <c r="S37" s="456"/>
      <c r="T37" s="456"/>
      <c r="U37" s="456"/>
      <c r="V37" s="456"/>
      <c r="W37" s="456"/>
      <c r="X37" s="456"/>
      <c r="Y37" s="456">
        <f t="shared" si="0"/>
        <v>15048</v>
      </c>
      <c r="Z37" s="457">
        <v>15048</v>
      </c>
      <c r="AA37" s="468" t="s">
        <v>2020</v>
      </c>
      <c r="AB37" s="459">
        <v>44232</v>
      </c>
      <c r="AC37" s="464">
        <v>44251</v>
      </c>
      <c r="AD37" s="457"/>
      <c r="AE37" s="469"/>
      <c r="AF37" s="463"/>
      <c r="AG37" s="464"/>
      <c r="AH37" s="457"/>
      <c r="AI37" s="468"/>
      <c r="AJ37" s="463"/>
      <c r="AK37" s="464"/>
      <c r="AL37" s="457"/>
      <c r="AM37" s="468"/>
      <c r="AN37" s="463"/>
      <c r="AO37" s="464"/>
      <c r="AP37" s="457"/>
      <c r="AQ37" s="468"/>
      <c r="AR37" s="463"/>
      <c r="AS37" s="464"/>
      <c r="AT37" s="37">
        <f t="shared" si="1"/>
        <v>15048</v>
      </c>
      <c r="AU37" s="465">
        <f t="shared" si="2"/>
        <v>0</v>
      </c>
      <c r="AV37" s="466"/>
    </row>
    <row r="38" spans="1:48" s="26" customFormat="1" x14ac:dyDescent="0.2">
      <c r="B38" s="27">
        <f t="shared" si="3"/>
        <v>22</v>
      </c>
      <c r="C38" s="447" t="s">
        <v>39</v>
      </c>
      <c r="D38" s="448">
        <v>30067644</v>
      </c>
      <c r="E38" s="449" t="s">
        <v>2063</v>
      </c>
      <c r="F38" s="450" t="s">
        <v>147</v>
      </c>
      <c r="G38" s="451" t="s">
        <v>2025</v>
      </c>
      <c r="H38" s="472" t="s">
        <v>2064</v>
      </c>
      <c r="I38" s="452" t="s">
        <v>72</v>
      </c>
      <c r="J38" s="453">
        <v>1353449</v>
      </c>
      <c r="K38" s="471">
        <v>0</v>
      </c>
      <c r="L38" s="455">
        <v>1241000</v>
      </c>
      <c r="M38" s="456">
        <v>0</v>
      </c>
      <c r="N38" s="456">
        <v>0</v>
      </c>
      <c r="O38" s="456">
        <v>0</v>
      </c>
      <c r="P38" s="456"/>
      <c r="Q38" s="456"/>
      <c r="R38" s="456"/>
      <c r="S38" s="456"/>
      <c r="T38" s="456"/>
      <c r="U38" s="456"/>
      <c r="V38" s="456"/>
      <c r="W38" s="456"/>
      <c r="X38" s="456"/>
      <c r="Y38" s="456">
        <f t="shared" si="0"/>
        <v>0</v>
      </c>
      <c r="Z38" s="457">
        <v>112449</v>
      </c>
      <c r="AA38" s="468" t="s">
        <v>2037</v>
      </c>
      <c r="AB38" s="459">
        <v>44222</v>
      </c>
      <c r="AC38" s="464">
        <v>44225</v>
      </c>
      <c r="AD38" s="457"/>
      <c r="AE38" s="469"/>
      <c r="AF38" s="463"/>
      <c r="AG38" s="464"/>
      <c r="AH38" s="457"/>
      <c r="AI38" s="468"/>
      <c r="AJ38" s="463"/>
      <c r="AK38" s="464"/>
      <c r="AL38" s="457"/>
      <c r="AM38" s="468"/>
      <c r="AN38" s="463"/>
      <c r="AO38" s="464"/>
      <c r="AP38" s="457"/>
      <c r="AQ38" s="468"/>
      <c r="AR38" s="463"/>
      <c r="AS38" s="464"/>
      <c r="AT38" s="37">
        <f t="shared" si="1"/>
        <v>112449</v>
      </c>
      <c r="AU38" s="465">
        <f t="shared" si="2"/>
        <v>112449</v>
      </c>
      <c r="AV38" s="466"/>
    </row>
    <row r="39" spans="1:48" s="26" customFormat="1" x14ac:dyDescent="0.2">
      <c r="B39" s="27">
        <f t="shared" si="3"/>
        <v>23</v>
      </c>
      <c r="C39" s="447" t="s">
        <v>39</v>
      </c>
      <c r="D39" s="448">
        <v>30068032</v>
      </c>
      <c r="E39" s="449" t="s">
        <v>2065</v>
      </c>
      <c r="F39" s="450" t="s">
        <v>147</v>
      </c>
      <c r="G39" s="451" t="s">
        <v>2025</v>
      </c>
      <c r="H39" s="472" t="s">
        <v>2066</v>
      </c>
      <c r="I39" s="452" t="s">
        <v>57</v>
      </c>
      <c r="J39" s="453">
        <v>1185369</v>
      </c>
      <c r="K39" s="454">
        <v>832315</v>
      </c>
      <c r="L39" s="455">
        <v>0</v>
      </c>
      <c r="M39" s="456">
        <v>0</v>
      </c>
      <c r="N39" s="456">
        <v>173790</v>
      </c>
      <c r="O39" s="456">
        <v>0</v>
      </c>
      <c r="P39" s="456"/>
      <c r="Q39" s="456"/>
      <c r="R39" s="456"/>
      <c r="S39" s="456"/>
      <c r="T39" s="456"/>
      <c r="U39" s="456"/>
      <c r="V39" s="456"/>
      <c r="W39" s="456"/>
      <c r="X39" s="456"/>
      <c r="Y39" s="456">
        <f t="shared" si="0"/>
        <v>173790</v>
      </c>
      <c r="Z39" s="457">
        <v>353054</v>
      </c>
      <c r="AA39" s="468" t="s">
        <v>144</v>
      </c>
      <c r="AB39" s="459">
        <v>44224</v>
      </c>
      <c r="AC39" s="464">
        <v>44251</v>
      </c>
      <c r="AD39" s="457"/>
      <c r="AE39" s="469"/>
      <c r="AF39" s="463"/>
      <c r="AG39" s="464"/>
      <c r="AH39" s="457"/>
      <c r="AI39" s="468"/>
      <c r="AJ39" s="463"/>
      <c r="AK39" s="464"/>
      <c r="AL39" s="457"/>
      <c r="AM39" s="468"/>
      <c r="AN39" s="463"/>
      <c r="AO39" s="464"/>
      <c r="AP39" s="457"/>
      <c r="AQ39" s="468"/>
      <c r="AR39" s="463"/>
      <c r="AS39" s="464"/>
      <c r="AT39" s="37">
        <f t="shared" si="1"/>
        <v>353054</v>
      </c>
      <c r="AU39" s="465">
        <f t="shared" si="2"/>
        <v>179264</v>
      </c>
      <c r="AV39" s="466"/>
    </row>
    <row r="40" spans="1:48" s="26" customFormat="1" x14ac:dyDescent="0.2">
      <c r="B40" s="27">
        <f t="shared" si="3"/>
        <v>24</v>
      </c>
      <c r="C40" s="447" t="s">
        <v>39</v>
      </c>
      <c r="D40" s="448">
        <v>30068457</v>
      </c>
      <c r="E40" s="449" t="s">
        <v>2067</v>
      </c>
      <c r="F40" s="450" t="s">
        <v>147</v>
      </c>
      <c r="G40" s="451" t="s">
        <v>2025</v>
      </c>
      <c r="H40" s="472" t="s">
        <v>2068</v>
      </c>
      <c r="I40" s="452" t="s">
        <v>57</v>
      </c>
      <c r="J40" s="453">
        <v>2687609</v>
      </c>
      <c r="K40" s="454">
        <v>2643162</v>
      </c>
      <c r="L40" s="455">
        <v>0</v>
      </c>
      <c r="M40" s="456">
        <v>0</v>
      </c>
      <c r="N40" s="456">
        <v>38636</v>
      </c>
      <c r="O40" s="456">
        <v>0</v>
      </c>
      <c r="P40" s="456"/>
      <c r="Q40" s="456"/>
      <c r="R40" s="456"/>
      <c r="S40" s="456"/>
      <c r="T40" s="456"/>
      <c r="U40" s="456"/>
      <c r="V40" s="456"/>
      <c r="W40" s="456"/>
      <c r="X40" s="456"/>
      <c r="Y40" s="456">
        <f t="shared" si="0"/>
        <v>38636</v>
      </c>
      <c r="Z40" s="457">
        <v>44447</v>
      </c>
      <c r="AA40" s="468" t="s">
        <v>144</v>
      </c>
      <c r="AB40" s="459">
        <v>44224</v>
      </c>
      <c r="AC40" s="464">
        <v>44251</v>
      </c>
      <c r="AD40" s="457"/>
      <c r="AE40" s="469"/>
      <c r="AF40" s="463"/>
      <c r="AG40" s="464"/>
      <c r="AH40" s="457"/>
      <c r="AI40" s="468"/>
      <c r="AJ40" s="463"/>
      <c r="AK40" s="464"/>
      <c r="AL40" s="457"/>
      <c r="AM40" s="468"/>
      <c r="AN40" s="463"/>
      <c r="AO40" s="464"/>
      <c r="AP40" s="457"/>
      <c r="AQ40" s="468"/>
      <c r="AR40" s="463"/>
      <c r="AS40" s="464"/>
      <c r="AT40" s="37">
        <f t="shared" si="1"/>
        <v>44447</v>
      </c>
      <c r="AU40" s="465">
        <f t="shared" si="2"/>
        <v>5811</v>
      </c>
      <c r="AV40" s="466"/>
    </row>
    <row r="41" spans="1:48" s="26" customFormat="1" x14ac:dyDescent="0.2">
      <c r="B41" s="27">
        <f t="shared" si="3"/>
        <v>25</v>
      </c>
      <c r="C41" s="447" t="s">
        <v>39</v>
      </c>
      <c r="D41" s="448">
        <v>30068866</v>
      </c>
      <c r="E41" s="449" t="s">
        <v>2069</v>
      </c>
      <c r="F41" s="450" t="s">
        <v>147</v>
      </c>
      <c r="G41" s="451" t="s">
        <v>2025</v>
      </c>
      <c r="H41" s="472" t="s">
        <v>2070</v>
      </c>
      <c r="I41" s="452" t="s">
        <v>57</v>
      </c>
      <c r="J41" s="454">
        <v>657911</v>
      </c>
      <c r="K41" s="453">
        <v>644882</v>
      </c>
      <c r="L41" s="456">
        <v>0</v>
      </c>
      <c r="M41" s="456">
        <v>0</v>
      </c>
      <c r="N41" s="456">
        <v>0</v>
      </c>
      <c r="O41" s="456">
        <v>0</v>
      </c>
      <c r="P41" s="456"/>
      <c r="Q41" s="456"/>
      <c r="R41" s="456"/>
      <c r="S41" s="456"/>
      <c r="T41" s="456"/>
      <c r="U41" s="456"/>
      <c r="V41" s="456"/>
      <c r="W41" s="456"/>
      <c r="X41" s="456"/>
      <c r="Y41" s="456">
        <f t="shared" si="0"/>
        <v>0</v>
      </c>
      <c r="Z41" s="457">
        <v>13029</v>
      </c>
      <c r="AA41" s="468" t="s">
        <v>2060</v>
      </c>
      <c r="AB41" s="459">
        <v>44237</v>
      </c>
      <c r="AC41" s="464">
        <v>44251</v>
      </c>
      <c r="AD41" s="457"/>
      <c r="AE41" s="469"/>
      <c r="AF41" s="463"/>
      <c r="AG41" s="464"/>
      <c r="AH41" s="457"/>
      <c r="AI41" s="468"/>
      <c r="AJ41" s="463"/>
      <c r="AK41" s="464"/>
      <c r="AL41" s="457"/>
      <c r="AM41" s="468"/>
      <c r="AN41" s="463"/>
      <c r="AO41" s="464"/>
      <c r="AP41" s="457"/>
      <c r="AQ41" s="468"/>
      <c r="AR41" s="463"/>
      <c r="AS41" s="464"/>
      <c r="AT41" s="37">
        <f t="shared" si="1"/>
        <v>13029</v>
      </c>
      <c r="AU41" s="465">
        <f t="shared" si="2"/>
        <v>13029</v>
      </c>
      <c r="AV41" s="466"/>
    </row>
    <row r="42" spans="1:48" s="26" customFormat="1" x14ac:dyDescent="0.2">
      <c r="B42" s="27">
        <f t="shared" si="3"/>
        <v>26</v>
      </c>
      <c r="C42" s="447" t="s">
        <v>39</v>
      </c>
      <c r="D42" s="448">
        <v>30070555</v>
      </c>
      <c r="E42" s="449" t="s">
        <v>2071</v>
      </c>
      <c r="F42" s="450" t="s">
        <v>147</v>
      </c>
      <c r="G42" s="451" t="s">
        <v>2025</v>
      </c>
      <c r="H42" s="472" t="s">
        <v>2072</v>
      </c>
      <c r="I42" s="452" t="s">
        <v>57</v>
      </c>
      <c r="J42" s="453">
        <v>6427827</v>
      </c>
      <c r="K42" s="475">
        <v>74575</v>
      </c>
      <c r="L42" s="456">
        <v>5523252</v>
      </c>
      <c r="M42" s="456">
        <v>0</v>
      </c>
      <c r="N42" s="456">
        <v>0</v>
      </c>
      <c r="O42" s="456">
        <v>0</v>
      </c>
      <c r="P42" s="456"/>
      <c r="Q42" s="456"/>
      <c r="R42" s="456"/>
      <c r="S42" s="456"/>
      <c r="T42" s="456"/>
      <c r="U42" s="456"/>
      <c r="V42" s="456"/>
      <c r="W42" s="456"/>
      <c r="X42" s="456"/>
      <c r="Y42" s="456">
        <f t="shared" si="0"/>
        <v>0</v>
      </c>
      <c r="Z42" s="457">
        <v>818000</v>
      </c>
      <c r="AA42" s="468" t="s">
        <v>2020</v>
      </c>
      <c r="AB42" s="459">
        <v>44232</v>
      </c>
      <c r="AC42" s="464">
        <v>44251</v>
      </c>
      <c r="AD42" s="457"/>
      <c r="AE42" s="469"/>
      <c r="AF42" s="463"/>
      <c r="AG42" s="464"/>
      <c r="AH42" s="457"/>
      <c r="AI42" s="468"/>
      <c r="AJ42" s="463"/>
      <c r="AK42" s="464"/>
      <c r="AL42" s="457"/>
      <c r="AM42" s="468"/>
      <c r="AN42" s="463"/>
      <c r="AO42" s="464"/>
      <c r="AP42" s="457"/>
      <c r="AQ42" s="468"/>
      <c r="AR42" s="463"/>
      <c r="AS42" s="464"/>
      <c r="AT42" s="37">
        <f t="shared" si="1"/>
        <v>818000</v>
      </c>
      <c r="AU42" s="465">
        <f t="shared" si="2"/>
        <v>818000</v>
      </c>
      <c r="AV42" s="466"/>
    </row>
    <row r="43" spans="1:48" s="26" customFormat="1" x14ac:dyDescent="0.2">
      <c r="B43" s="27">
        <f t="shared" si="3"/>
        <v>27</v>
      </c>
      <c r="C43" s="447" t="s">
        <v>39</v>
      </c>
      <c r="D43" s="448">
        <v>30072803</v>
      </c>
      <c r="E43" s="449" t="s">
        <v>2073</v>
      </c>
      <c r="F43" s="450" t="s">
        <v>147</v>
      </c>
      <c r="G43" s="451" t="s">
        <v>2025</v>
      </c>
      <c r="H43" s="472" t="s">
        <v>2074</v>
      </c>
      <c r="I43" s="452" t="s">
        <v>57</v>
      </c>
      <c r="J43" s="476">
        <v>617425</v>
      </c>
      <c r="K43" s="477">
        <v>112517</v>
      </c>
      <c r="L43" s="456">
        <v>0</v>
      </c>
      <c r="M43" s="456">
        <v>0</v>
      </c>
      <c r="N43" s="456">
        <v>0</v>
      </c>
      <c r="O43" s="456">
        <v>168</v>
      </c>
      <c r="P43" s="456"/>
      <c r="Q43" s="456"/>
      <c r="R43" s="456"/>
      <c r="S43" s="456"/>
      <c r="T43" s="456"/>
      <c r="U43" s="456"/>
      <c r="V43" s="456"/>
      <c r="W43" s="456"/>
      <c r="X43" s="456"/>
      <c r="Y43" s="456">
        <f t="shared" si="0"/>
        <v>168</v>
      </c>
      <c r="Z43" s="457">
        <v>121532</v>
      </c>
      <c r="AA43" s="468" t="s">
        <v>2060</v>
      </c>
      <c r="AB43" s="459">
        <v>44237</v>
      </c>
      <c r="AC43" s="464">
        <v>44251</v>
      </c>
      <c r="AD43" s="457"/>
      <c r="AE43" s="469"/>
      <c r="AF43" s="463"/>
      <c r="AG43" s="464"/>
      <c r="AH43" s="457"/>
      <c r="AI43" s="468"/>
      <c r="AJ43" s="463"/>
      <c r="AK43" s="464"/>
      <c r="AL43" s="457"/>
      <c r="AM43" s="468"/>
      <c r="AN43" s="463"/>
      <c r="AO43" s="464"/>
      <c r="AP43" s="457"/>
      <c r="AQ43" s="468"/>
      <c r="AR43" s="463"/>
      <c r="AS43" s="464"/>
      <c r="AT43" s="37">
        <f t="shared" si="1"/>
        <v>121532</v>
      </c>
      <c r="AU43" s="465">
        <f t="shared" si="2"/>
        <v>121364</v>
      </c>
      <c r="AV43" s="466"/>
    </row>
    <row r="44" spans="1:48" s="26" customFormat="1" x14ac:dyDescent="0.2">
      <c r="B44" s="27">
        <f t="shared" si="3"/>
        <v>28</v>
      </c>
      <c r="C44" s="447" t="s">
        <v>39</v>
      </c>
      <c r="D44" s="448">
        <v>30072828</v>
      </c>
      <c r="E44" s="449" t="s">
        <v>2075</v>
      </c>
      <c r="F44" s="450" t="s">
        <v>147</v>
      </c>
      <c r="G44" s="451" t="s">
        <v>2025</v>
      </c>
      <c r="H44" s="472" t="s">
        <v>2076</v>
      </c>
      <c r="I44" s="452" t="s">
        <v>57</v>
      </c>
      <c r="J44" s="453">
        <v>7860231</v>
      </c>
      <c r="K44" s="475">
        <v>652284</v>
      </c>
      <c r="L44" s="456">
        <v>6927945</v>
      </c>
      <c r="M44" s="456">
        <v>0</v>
      </c>
      <c r="N44" s="456">
        <v>112854</v>
      </c>
      <c r="O44" s="456">
        <v>67623</v>
      </c>
      <c r="P44" s="456"/>
      <c r="Q44" s="456"/>
      <c r="R44" s="456"/>
      <c r="S44" s="456"/>
      <c r="T44" s="456"/>
      <c r="U44" s="456"/>
      <c r="V44" s="456"/>
      <c r="W44" s="456"/>
      <c r="X44" s="456"/>
      <c r="Y44" s="456">
        <f t="shared" si="0"/>
        <v>180477</v>
      </c>
      <c r="Z44" s="457">
        <v>270002</v>
      </c>
      <c r="AA44" s="468" t="s">
        <v>2020</v>
      </c>
      <c r="AB44" s="459">
        <v>44232</v>
      </c>
      <c r="AC44" s="464">
        <v>44251</v>
      </c>
      <c r="AD44" s="457"/>
      <c r="AE44" s="469"/>
      <c r="AF44" s="463"/>
      <c r="AG44" s="464"/>
      <c r="AH44" s="457"/>
      <c r="AI44" s="468"/>
      <c r="AJ44" s="463"/>
      <c r="AK44" s="464"/>
      <c r="AL44" s="457"/>
      <c r="AM44" s="468"/>
      <c r="AN44" s="463"/>
      <c r="AO44" s="464"/>
      <c r="AP44" s="457"/>
      <c r="AQ44" s="468"/>
      <c r="AR44" s="463"/>
      <c r="AS44" s="464"/>
      <c r="AT44" s="37">
        <f t="shared" si="1"/>
        <v>270002</v>
      </c>
      <c r="AU44" s="465">
        <f t="shared" si="2"/>
        <v>89525</v>
      </c>
      <c r="AV44" s="466"/>
    </row>
    <row r="45" spans="1:48" s="26" customFormat="1" x14ac:dyDescent="0.2">
      <c r="B45" s="27">
        <f t="shared" si="3"/>
        <v>29</v>
      </c>
      <c r="C45" s="447" t="s">
        <v>39</v>
      </c>
      <c r="D45" s="448">
        <v>30073738</v>
      </c>
      <c r="E45" s="449" t="s">
        <v>2077</v>
      </c>
      <c r="F45" s="450" t="s">
        <v>147</v>
      </c>
      <c r="G45" s="451" t="s">
        <v>2025</v>
      </c>
      <c r="H45" s="472" t="s">
        <v>2078</v>
      </c>
      <c r="I45" s="452" t="s">
        <v>57</v>
      </c>
      <c r="J45" s="453">
        <v>1017668</v>
      </c>
      <c r="K45" s="475">
        <v>753397</v>
      </c>
      <c r="L45" s="456">
        <v>38216</v>
      </c>
      <c r="M45" s="456">
        <v>0</v>
      </c>
      <c r="N45" s="456">
        <v>161017</v>
      </c>
      <c r="O45" s="456">
        <v>54822</v>
      </c>
      <c r="P45" s="456"/>
      <c r="Q45" s="456"/>
      <c r="R45" s="456"/>
      <c r="S45" s="456"/>
      <c r="T45" s="456"/>
      <c r="U45" s="456"/>
      <c r="V45" s="456"/>
      <c r="W45" s="456"/>
      <c r="X45" s="456"/>
      <c r="Y45" s="456">
        <f t="shared" si="0"/>
        <v>215839</v>
      </c>
      <c r="Z45" s="457">
        <v>226055</v>
      </c>
      <c r="AA45" s="468" t="s">
        <v>2020</v>
      </c>
      <c r="AB45" s="459">
        <v>44232</v>
      </c>
      <c r="AC45" s="464">
        <v>44251</v>
      </c>
      <c r="AD45" s="457"/>
      <c r="AE45" s="469"/>
      <c r="AF45" s="463"/>
      <c r="AG45" s="464"/>
      <c r="AH45" s="457"/>
      <c r="AI45" s="468"/>
      <c r="AJ45" s="463"/>
      <c r="AK45" s="464"/>
      <c r="AL45" s="457"/>
      <c r="AM45" s="468"/>
      <c r="AN45" s="463"/>
      <c r="AO45" s="464"/>
      <c r="AP45" s="457"/>
      <c r="AQ45" s="468"/>
      <c r="AR45" s="463"/>
      <c r="AS45" s="464"/>
      <c r="AT45" s="37">
        <f t="shared" si="1"/>
        <v>226055</v>
      </c>
      <c r="AU45" s="465">
        <f t="shared" si="2"/>
        <v>10216</v>
      </c>
      <c r="AV45" s="466"/>
    </row>
    <row r="46" spans="1:48" s="26" customFormat="1" x14ac:dyDescent="0.2">
      <c r="B46" s="27">
        <f t="shared" si="3"/>
        <v>30</v>
      </c>
      <c r="C46" s="447" t="s">
        <v>39</v>
      </c>
      <c r="D46" s="448">
        <v>30074166</v>
      </c>
      <c r="E46" s="449" t="s">
        <v>2079</v>
      </c>
      <c r="F46" s="450" t="s">
        <v>147</v>
      </c>
      <c r="G46" s="451" t="s">
        <v>2025</v>
      </c>
      <c r="H46" s="472" t="s">
        <v>2080</v>
      </c>
      <c r="I46" s="452" t="s">
        <v>57</v>
      </c>
      <c r="J46" s="453">
        <v>1452026</v>
      </c>
      <c r="K46" s="476">
        <v>1124750</v>
      </c>
      <c r="L46" s="455">
        <v>0</v>
      </c>
      <c r="M46" s="456">
        <v>0</v>
      </c>
      <c r="N46" s="456">
        <v>104568</v>
      </c>
      <c r="O46" s="456">
        <v>109743</v>
      </c>
      <c r="P46" s="456"/>
      <c r="Q46" s="456"/>
      <c r="R46" s="456"/>
      <c r="S46" s="456"/>
      <c r="T46" s="456"/>
      <c r="U46" s="456"/>
      <c r="V46" s="456"/>
      <c r="W46" s="456"/>
      <c r="X46" s="456"/>
      <c r="Y46" s="456">
        <f t="shared" si="0"/>
        <v>214311</v>
      </c>
      <c r="Z46" s="457">
        <v>263291</v>
      </c>
      <c r="AA46" s="468" t="s">
        <v>144</v>
      </c>
      <c r="AB46" s="459">
        <v>44224</v>
      </c>
      <c r="AC46" s="464">
        <v>44251</v>
      </c>
      <c r="AD46" s="457"/>
      <c r="AE46" s="469"/>
      <c r="AF46" s="463"/>
      <c r="AG46" s="464"/>
      <c r="AH46" s="457"/>
      <c r="AI46" s="468"/>
      <c r="AJ46" s="463"/>
      <c r="AK46" s="464"/>
      <c r="AL46" s="457"/>
      <c r="AM46" s="468"/>
      <c r="AN46" s="463"/>
      <c r="AO46" s="464"/>
      <c r="AP46" s="457"/>
      <c r="AQ46" s="468"/>
      <c r="AR46" s="463"/>
      <c r="AS46" s="464"/>
      <c r="AT46" s="37">
        <f t="shared" si="1"/>
        <v>263291</v>
      </c>
      <c r="AU46" s="465">
        <f t="shared" si="2"/>
        <v>48980</v>
      </c>
      <c r="AV46" s="466"/>
    </row>
    <row r="47" spans="1:48" s="26" customFormat="1" x14ac:dyDescent="0.2">
      <c r="B47" s="27">
        <f t="shared" si="3"/>
        <v>31</v>
      </c>
      <c r="C47" s="447" t="s">
        <v>39</v>
      </c>
      <c r="D47" s="448">
        <v>30074607</v>
      </c>
      <c r="E47" s="449" t="s">
        <v>2081</v>
      </c>
      <c r="F47" s="450" t="s">
        <v>147</v>
      </c>
      <c r="G47" s="451" t="s">
        <v>2025</v>
      </c>
      <c r="H47" s="472" t="s">
        <v>2028</v>
      </c>
      <c r="I47" s="452" t="s">
        <v>57</v>
      </c>
      <c r="J47" s="476">
        <v>21796655</v>
      </c>
      <c r="K47" s="477">
        <v>19451899</v>
      </c>
      <c r="L47" s="456">
        <v>0</v>
      </c>
      <c r="M47" s="456">
        <v>0</v>
      </c>
      <c r="N47" s="456">
        <v>4200</v>
      </c>
      <c r="O47" s="456">
        <v>236528</v>
      </c>
      <c r="P47" s="456"/>
      <c r="Q47" s="456"/>
      <c r="R47" s="456"/>
      <c r="S47" s="456"/>
      <c r="T47" s="456"/>
      <c r="U47" s="456"/>
      <c r="V47" s="456"/>
      <c r="W47" s="456"/>
      <c r="X47" s="456"/>
      <c r="Y47" s="456">
        <f t="shared" si="0"/>
        <v>240728</v>
      </c>
      <c r="Z47" s="457">
        <v>2344756</v>
      </c>
      <c r="AA47" s="468" t="s">
        <v>2060</v>
      </c>
      <c r="AB47" s="459">
        <v>44237</v>
      </c>
      <c r="AC47" s="464">
        <v>44251</v>
      </c>
      <c r="AD47" s="457"/>
      <c r="AE47" s="469"/>
      <c r="AF47" s="463"/>
      <c r="AG47" s="464"/>
      <c r="AH47" s="457"/>
      <c r="AI47" s="468"/>
      <c r="AJ47" s="463"/>
      <c r="AK47" s="464"/>
      <c r="AL47" s="457"/>
      <c r="AM47" s="468"/>
      <c r="AN47" s="463"/>
      <c r="AO47" s="464"/>
      <c r="AP47" s="457"/>
      <c r="AQ47" s="468"/>
      <c r="AR47" s="463"/>
      <c r="AS47" s="464"/>
      <c r="AT47" s="37">
        <f t="shared" si="1"/>
        <v>2344756</v>
      </c>
      <c r="AU47" s="465">
        <f t="shared" si="2"/>
        <v>2104028</v>
      </c>
      <c r="AV47" s="466"/>
    </row>
    <row r="48" spans="1:48" s="26" customFormat="1" x14ac:dyDescent="0.2">
      <c r="B48" s="27">
        <f t="shared" si="3"/>
        <v>32</v>
      </c>
      <c r="C48" s="447" t="s">
        <v>39</v>
      </c>
      <c r="D48" s="448">
        <v>30075290</v>
      </c>
      <c r="E48" s="449" t="s">
        <v>2082</v>
      </c>
      <c r="F48" s="450" t="s">
        <v>147</v>
      </c>
      <c r="G48" s="451" t="s">
        <v>2025</v>
      </c>
      <c r="H48" s="472" t="s">
        <v>2083</v>
      </c>
      <c r="I48" s="452" t="s">
        <v>57</v>
      </c>
      <c r="J48" s="453">
        <v>19444262</v>
      </c>
      <c r="K48" s="475">
        <v>28920</v>
      </c>
      <c r="L48" s="456">
        <v>17241409</v>
      </c>
      <c r="M48" s="456">
        <v>0</v>
      </c>
      <c r="N48" s="456">
        <v>0</v>
      </c>
      <c r="O48" s="456">
        <v>0</v>
      </c>
      <c r="P48" s="456"/>
      <c r="Q48" s="456"/>
      <c r="R48" s="456"/>
      <c r="S48" s="456"/>
      <c r="T48" s="456"/>
      <c r="U48" s="456"/>
      <c r="V48" s="456"/>
      <c r="W48" s="456"/>
      <c r="X48" s="456"/>
      <c r="Y48" s="456">
        <f t="shared" si="0"/>
        <v>0</v>
      </c>
      <c r="Z48" s="457">
        <v>2131793</v>
      </c>
      <c r="AA48" s="468" t="s">
        <v>2084</v>
      </c>
      <c r="AB48" s="459">
        <v>44259</v>
      </c>
      <c r="AC48" s="464">
        <v>44274</v>
      </c>
      <c r="AD48" s="457"/>
      <c r="AE48" s="469"/>
      <c r="AF48" s="463"/>
      <c r="AG48" s="464"/>
      <c r="AH48" s="457"/>
      <c r="AI48" s="468"/>
      <c r="AJ48" s="463"/>
      <c r="AK48" s="464"/>
      <c r="AL48" s="457"/>
      <c r="AM48" s="468"/>
      <c r="AN48" s="463"/>
      <c r="AO48" s="464"/>
      <c r="AP48" s="457"/>
      <c r="AQ48" s="468"/>
      <c r="AR48" s="463"/>
      <c r="AS48" s="464"/>
      <c r="AT48" s="37">
        <f t="shared" si="1"/>
        <v>2131793</v>
      </c>
      <c r="AU48" s="465">
        <f t="shared" si="2"/>
        <v>2131793</v>
      </c>
      <c r="AV48" s="466"/>
    </row>
    <row r="49" spans="2:48" s="26" customFormat="1" x14ac:dyDescent="0.2">
      <c r="B49" s="27">
        <f t="shared" si="3"/>
        <v>33</v>
      </c>
      <c r="C49" s="447" t="s">
        <v>39</v>
      </c>
      <c r="D49" s="448">
        <v>30076987</v>
      </c>
      <c r="E49" s="449" t="s">
        <v>2085</v>
      </c>
      <c r="F49" s="450" t="s">
        <v>147</v>
      </c>
      <c r="G49" s="451" t="s">
        <v>2025</v>
      </c>
      <c r="H49" s="472" t="s">
        <v>2086</v>
      </c>
      <c r="I49" s="452" t="s">
        <v>57</v>
      </c>
      <c r="J49" s="476">
        <v>2687921</v>
      </c>
      <c r="K49" s="477">
        <v>2673375</v>
      </c>
      <c r="L49" s="456">
        <v>0</v>
      </c>
      <c r="M49" s="456">
        <v>0</v>
      </c>
      <c r="N49" s="456">
        <v>0</v>
      </c>
      <c r="O49" s="456">
        <v>0</v>
      </c>
      <c r="P49" s="456"/>
      <c r="Q49" s="456"/>
      <c r="R49" s="456"/>
      <c r="S49" s="456"/>
      <c r="T49" s="456"/>
      <c r="U49" s="456"/>
      <c r="V49" s="456"/>
      <c r="W49" s="456"/>
      <c r="X49" s="456"/>
      <c r="Y49" s="456">
        <f t="shared" si="0"/>
        <v>0</v>
      </c>
      <c r="Z49" s="457">
        <v>14546</v>
      </c>
      <c r="AA49" s="468" t="s">
        <v>2060</v>
      </c>
      <c r="AB49" s="459">
        <v>44237</v>
      </c>
      <c r="AC49" s="464">
        <v>44251</v>
      </c>
      <c r="AD49" s="457"/>
      <c r="AE49" s="469"/>
      <c r="AF49" s="463"/>
      <c r="AG49" s="464"/>
      <c r="AH49" s="457"/>
      <c r="AI49" s="468"/>
      <c r="AJ49" s="463"/>
      <c r="AK49" s="464"/>
      <c r="AL49" s="457"/>
      <c r="AM49" s="468"/>
      <c r="AN49" s="463"/>
      <c r="AO49" s="464"/>
      <c r="AP49" s="457"/>
      <c r="AQ49" s="468"/>
      <c r="AR49" s="463"/>
      <c r="AS49" s="464"/>
      <c r="AT49" s="37">
        <f t="shared" si="1"/>
        <v>14546</v>
      </c>
      <c r="AU49" s="465">
        <f t="shared" si="2"/>
        <v>14546</v>
      </c>
      <c r="AV49" s="466"/>
    </row>
    <row r="50" spans="2:48" s="26" customFormat="1" x14ac:dyDescent="0.2">
      <c r="B50" s="27">
        <f t="shared" si="3"/>
        <v>34</v>
      </c>
      <c r="C50" s="447" t="s">
        <v>39</v>
      </c>
      <c r="D50" s="448">
        <v>30077682</v>
      </c>
      <c r="E50" s="449" t="s">
        <v>2087</v>
      </c>
      <c r="F50" s="450" t="s">
        <v>147</v>
      </c>
      <c r="G50" s="451" t="s">
        <v>2025</v>
      </c>
      <c r="H50" s="472" t="s">
        <v>2088</v>
      </c>
      <c r="I50" s="452" t="s">
        <v>57</v>
      </c>
      <c r="J50" s="453">
        <v>1018163</v>
      </c>
      <c r="K50" s="476">
        <v>1009456</v>
      </c>
      <c r="L50" s="455">
        <v>0</v>
      </c>
      <c r="M50" s="456">
        <v>0</v>
      </c>
      <c r="N50" s="456">
        <v>0</v>
      </c>
      <c r="O50" s="456">
        <v>0</v>
      </c>
      <c r="P50" s="456"/>
      <c r="Q50" s="456"/>
      <c r="R50" s="456"/>
      <c r="S50" s="456"/>
      <c r="T50" s="456"/>
      <c r="U50" s="456"/>
      <c r="V50" s="456"/>
      <c r="W50" s="456"/>
      <c r="X50" s="456"/>
      <c r="Y50" s="456">
        <f t="shared" si="0"/>
        <v>0</v>
      </c>
      <c r="Z50" s="457">
        <v>8707</v>
      </c>
      <c r="AA50" s="468" t="s">
        <v>144</v>
      </c>
      <c r="AB50" s="459">
        <v>44224</v>
      </c>
      <c r="AC50" s="464">
        <v>44251</v>
      </c>
      <c r="AD50" s="457"/>
      <c r="AE50" s="469"/>
      <c r="AF50" s="463"/>
      <c r="AG50" s="464"/>
      <c r="AH50" s="457"/>
      <c r="AI50" s="468"/>
      <c r="AJ50" s="463"/>
      <c r="AK50" s="464"/>
      <c r="AL50" s="457"/>
      <c r="AM50" s="468"/>
      <c r="AN50" s="463"/>
      <c r="AO50" s="464"/>
      <c r="AP50" s="457"/>
      <c r="AQ50" s="468"/>
      <c r="AR50" s="463"/>
      <c r="AS50" s="464"/>
      <c r="AT50" s="37">
        <f t="shared" si="1"/>
        <v>8707</v>
      </c>
      <c r="AU50" s="465">
        <f t="shared" si="2"/>
        <v>8707</v>
      </c>
      <c r="AV50" s="466"/>
    </row>
    <row r="51" spans="2:48" s="26" customFormat="1" x14ac:dyDescent="0.2">
      <c r="B51" s="27">
        <f t="shared" si="3"/>
        <v>35</v>
      </c>
      <c r="C51" s="447" t="s">
        <v>39</v>
      </c>
      <c r="D51" s="448">
        <v>30077924</v>
      </c>
      <c r="E51" s="449" t="s">
        <v>2089</v>
      </c>
      <c r="F51" s="450" t="s">
        <v>147</v>
      </c>
      <c r="G51" s="451" t="s">
        <v>2025</v>
      </c>
      <c r="H51" s="472" t="s">
        <v>2090</v>
      </c>
      <c r="I51" s="452" t="s">
        <v>57</v>
      </c>
      <c r="J51" s="453">
        <v>892259</v>
      </c>
      <c r="K51" s="476">
        <v>689639</v>
      </c>
      <c r="L51" s="455">
        <v>0</v>
      </c>
      <c r="M51" s="456">
        <v>0</v>
      </c>
      <c r="N51" s="456">
        <v>122888</v>
      </c>
      <c r="O51" s="456">
        <v>52019</v>
      </c>
      <c r="P51" s="456"/>
      <c r="Q51" s="456"/>
      <c r="R51" s="456"/>
      <c r="S51" s="456"/>
      <c r="T51" s="456"/>
      <c r="U51" s="456"/>
      <c r="V51" s="456"/>
      <c r="W51" s="456"/>
      <c r="X51" s="456"/>
      <c r="Y51" s="456">
        <f t="shared" si="0"/>
        <v>174907</v>
      </c>
      <c r="Z51" s="457">
        <v>202620</v>
      </c>
      <c r="AA51" s="468" t="s">
        <v>144</v>
      </c>
      <c r="AB51" s="459">
        <v>44224</v>
      </c>
      <c r="AC51" s="464">
        <v>44251</v>
      </c>
      <c r="AD51" s="457"/>
      <c r="AE51" s="469"/>
      <c r="AF51" s="463"/>
      <c r="AG51" s="464"/>
      <c r="AH51" s="457"/>
      <c r="AI51" s="468"/>
      <c r="AJ51" s="463"/>
      <c r="AK51" s="464"/>
      <c r="AL51" s="457"/>
      <c r="AM51" s="468"/>
      <c r="AN51" s="463"/>
      <c r="AO51" s="464"/>
      <c r="AP51" s="457"/>
      <c r="AQ51" s="468"/>
      <c r="AR51" s="463"/>
      <c r="AS51" s="464"/>
      <c r="AT51" s="37">
        <f t="shared" si="1"/>
        <v>202620</v>
      </c>
      <c r="AU51" s="465">
        <f t="shared" si="2"/>
        <v>27713</v>
      </c>
      <c r="AV51" s="466"/>
    </row>
    <row r="52" spans="2:48" s="26" customFormat="1" x14ac:dyDescent="0.2">
      <c r="B52" s="27">
        <f t="shared" si="3"/>
        <v>36</v>
      </c>
      <c r="C52" s="447" t="s">
        <v>39</v>
      </c>
      <c r="D52" s="448">
        <v>30079057</v>
      </c>
      <c r="E52" s="449" t="s">
        <v>2091</v>
      </c>
      <c r="F52" s="450" t="s">
        <v>147</v>
      </c>
      <c r="G52" s="451" t="s">
        <v>2025</v>
      </c>
      <c r="H52" s="472" t="s">
        <v>2092</v>
      </c>
      <c r="I52" s="452" t="s">
        <v>57</v>
      </c>
      <c r="J52" s="453">
        <v>1341180</v>
      </c>
      <c r="K52" s="476">
        <v>849185</v>
      </c>
      <c r="L52" s="455">
        <v>2</v>
      </c>
      <c r="M52" s="456">
        <v>0</v>
      </c>
      <c r="N52" s="456">
        <v>188296</v>
      </c>
      <c r="O52" s="456">
        <v>85978</v>
      </c>
      <c r="P52" s="456"/>
      <c r="Q52" s="456"/>
      <c r="R52" s="456"/>
      <c r="S52" s="456"/>
      <c r="T52" s="456"/>
      <c r="U52" s="456"/>
      <c r="V52" s="456"/>
      <c r="W52" s="456"/>
      <c r="X52" s="456"/>
      <c r="Y52" s="456">
        <f t="shared" si="0"/>
        <v>274274</v>
      </c>
      <c r="Z52" s="457">
        <v>491993</v>
      </c>
      <c r="AA52" s="468" t="s">
        <v>144</v>
      </c>
      <c r="AB52" s="459">
        <v>44224</v>
      </c>
      <c r="AC52" s="464">
        <v>44251</v>
      </c>
      <c r="AD52" s="457"/>
      <c r="AE52" s="469"/>
      <c r="AF52" s="463"/>
      <c r="AG52" s="464"/>
      <c r="AH52" s="457"/>
      <c r="AI52" s="468"/>
      <c r="AJ52" s="463"/>
      <c r="AK52" s="464"/>
      <c r="AL52" s="457"/>
      <c r="AM52" s="468"/>
      <c r="AN52" s="463"/>
      <c r="AO52" s="464"/>
      <c r="AP52" s="457"/>
      <c r="AQ52" s="468"/>
      <c r="AR52" s="463"/>
      <c r="AS52" s="464"/>
      <c r="AT52" s="37">
        <f t="shared" si="1"/>
        <v>491993</v>
      </c>
      <c r="AU52" s="465">
        <f t="shared" si="2"/>
        <v>217719</v>
      </c>
      <c r="AV52" s="466"/>
    </row>
    <row r="53" spans="2:48" s="26" customFormat="1" x14ac:dyDescent="0.2">
      <c r="B53" s="27">
        <f t="shared" si="3"/>
        <v>37</v>
      </c>
      <c r="C53" s="447" t="s">
        <v>39</v>
      </c>
      <c r="D53" s="448">
        <v>30080556</v>
      </c>
      <c r="E53" s="449" t="s">
        <v>2093</v>
      </c>
      <c r="F53" s="450" t="s">
        <v>147</v>
      </c>
      <c r="G53" s="451" t="s">
        <v>2025</v>
      </c>
      <c r="H53" s="472" t="s">
        <v>2094</v>
      </c>
      <c r="I53" s="452" t="s">
        <v>72</v>
      </c>
      <c r="J53" s="453">
        <v>3596890</v>
      </c>
      <c r="K53" s="478">
        <v>0</v>
      </c>
      <c r="L53" s="455">
        <v>3285306</v>
      </c>
      <c r="M53" s="456">
        <v>0</v>
      </c>
      <c r="N53" s="456">
        <v>0</v>
      </c>
      <c r="O53" s="456">
        <v>0</v>
      </c>
      <c r="P53" s="456"/>
      <c r="Q53" s="456"/>
      <c r="R53" s="456"/>
      <c r="S53" s="456"/>
      <c r="T53" s="456"/>
      <c r="U53" s="456"/>
      <c r="V53" s="456"/>
      <c r="W53" s="456"/>
      <c r="X53" s="456"/>
      <c r="Y53" s="456">
        <f t="shared" si="0"/>
        <v>0</v>
      </c>
      <c r="Z53" s="457">
        <v>311550</v>
      </c>
      <c r="AA53" s="468" t="s">
        <v>2037</v>
      </c>
      <c r="AB53" s="459">
        <v>44222</v>
      </c>
      <c r="AC53" s="464">
        <v>44225</v>
      </c>
      <c r="AD53" s="457"/>
      <c r="AE53" s="469"/>
      <c r="AF53" s="463"/>
      <c r="AG53" s="464"/>
      <c r="AH53" s="457"/>
      <c r="AI53" s="468"/>
      <c r="AJ53" s="463"/>
      <c r="AK53" s="464"/>
      <c r="AL53" s="457"/>
      <c r="AM53" s="468"/>
      <c r="AN53" s="463"/>
      <c r="AO53" s="464"/>
      <c r="AP53" s="457"/>
      <c r="AQ53" s="468"/>
      <c r="AR53" s="463"/>
      <c r="AS53" s="464"/>
      <c r="AT53" s="37">
        <f t="shared" si="1"/>
        <v>311550</v>
      </c>
      <c r="AU53" s="465">
        <f t="shared" si="2"/>
        <v>311550</v>
      </c>
      <c r="AV53" s="466"/>
    </row>
    <row r="54" spans="2:48" s="26" customFormat="1" x14ac:dyDescent="0.2">
      <c r="B54" s="27">
        <f t="shared" si="3"/>
        <v>38</v>
      </c>
      <c r="C54" s="447" t="s">
        <v>39</v>
      </c>
      <c r="D54" s="448">
        <v>30080581</v>
      </c>
      <c r="E54" s="449" t="s">
        <v>2095</v>
      </c>
      <c r="F54" s="450" t="s">
        <v>193</v>
      </c>
      <c r="G54" s="451" t="s">
        <v>2025</v>
      </c>
      <c r="H54" s="472" t="s">
        <v>2068</v>
      </c>
      <c r="I54" s="452" t="s">
        <v>57</v>
      </c>
      <c r="J54" s="453">
        <v>55792</v>
      </c>
      <c r="K54" s="476">
        <v>34034</v>
      </c>
      <c r="L54" s="455">
        <v>0</v>
      </c>
      <c r="M54" s="456">
        <v>0</v>
      </c>
      <c r="N54" s="456">
        <v>0</v>
      </c>
      <c r="O54" s="456">
        <v>0</v>
      </c>
      <c r="P54" s="456"/>
      <c r="Q54" s="456"/>
      <c r="R54" s="456"/>
      <c r="S54" s="456"/>
      <c r="T54" s="456"/>
      <c r="U54" s="456"/>
      <c r="V54" s="456"/>
      <c r="W54" s="456"/>
      <c r="X54" s="456"/>
      <c r="Y54" s="456">
        <f t="shared" si="0"/>
        <v>0</v>
      </c>
      <c r="Z54" s="457">
        <v>21758</v>
      </c>
      <c r="AA54" s="468" t="s">
        <v>144</v>
      </c>
      <c r="AB54" s="459">
        <v>44224</v>
      </c>
      <c r="AC54" s="464">
        <v>44251</v>
      </c>
      <c r="AD54" s="457"/>
      <c r="AE54" s="469"/>
      <c r="AF54" s="463"/>
      <c r="AG54" s="464"/>
      <c r="AH54" s="457"/>
      <c r="AI54" s="468"/>
      <c r="AJ54" s="463"/>
      <c r="AK54" s="464"/>
      <c r="AL54" s="457"/>
      <c r="AM54" s="468"/>
      <c r="AN54" s="463"/>
      <c r="AO54" s="464"/>
      <c r="AP54" s="457"/>
      <c r="AQ54" s="468"/>
      <c r="AR54" s="463"/>
      <c r="AS54" s="464"/>
      <c r="AT54" s="37">
        <f t="shared" si="1"/>
        <v>21758</v>
      </c>
      <c r="AU54" s="465">
        <f t="shared" si="2"/>
        <v>21758</v>
      </c>
      <c r="AV54" s="466"/>
    </row>
    <row r="55" spans="2:48" s="26" customFormat="1" x14ac:dyDescent="0.2">
      <c r="B55" s="27">
        <f t="shared" si="3"/>
        <v>39</v>
      </c>
      <c r="C55" s="447" t="s">
        <v>39</v>
      </c>
      <c r="D55" s="448">
        <v>30080997</v>
      </c>
      <c r="E55" s="449" t="s">
        <v>2096</v>
      </c>
      <c r="F55" s="450" t="s">
        <v>147</v>
      </c>
      <c r="G55" s="451" t="s">
        <v>2025</v>
      </c>
      <c r="H55" s="472" t="s">
        <v>2097</v>
      </c>
      <c r="I55" s="452" t="s">
        <v>57</v>
      </c>
      <c r="J55" s="453">
        <v>1097787</v>
      </c>
      <c r="K55" s="475">
        <v>1092453</v>
      </c>
      <c r="L55" s="456">
        <v>0</v>
      </c>
      <c r="M55" s="456">
        <v>0</v>
      </c>
      <c r="N55" s="456">
        <v>0</v>
      </c>
      <c r="O55" s="456">
        <v>0</v>
      </c>
      <c r="P55" s="456"/>
      <c r="Q55" s="456"/>
      <c r="R55" s="456"/>
      <c r="S55" s="456"/>
      <c r="T55" s="456"/>
      <c r="U55" s="456"/>
      <c r="V55" s="456"/>
      <c r="W55" s="456"/>
      <c r="X55" s="456"/>
      <c r="Y55" s="456">
        <f t="shared" si="0"/>
        <v>0</v>
      </c>
      <c r="Z55" s="457">
        <v>5334</v>
      </c>
      <c r="AA55" s="468" t="s">
        <v>2020</v>
      </c>
      <c r="AB55" s="459">
        <v>44232</v>
      </c>
      <c r="AC55" s="464">
        <v>44251</v>
      </c>
      <c r="AD55" s="457"/>
      <c r="AE55" s="469"/>
      <c r="AF55" s="463"/>
      <c r="AG55" s="464"/>
      <c r="AH55" s="457"/>
      <c r="AI55" s="468"/>
      <c r="AJ55" s="463"/>
      <c r="AK55" s="464"/>
      <c r="AL55" s="457"/>
      <c r="AM55" s="468"/>
      <c r="AN55" s="463"/>
      <c r="AO55" s="464"/>
      <c r="AP55" s="457"/>
      <c r="AQ55" s="468"/>
      <c r="AR55" s="463"/>
      <c r="AS55" s="464"/>
      <c r="AT55" s="37">
        <f t="shared" si="1"/>
        <v>5334</v>
      </c>
      <c r="AU55" s="465">
        <f t="shared" si="2"/>
        <v>5334</v>
      </c>
      <c r="AV55" s="466"/>
    </row>
    <row r="56" spans="2:48" s="26" customFormat="1" x14ac:dyDescent="0.2">
      <c r="B56" s="27">
        <f t="shared" si="3"/>
        <v>40</v>
      </c>
      <c r="C56" s="447" t="s">
        <v>39</v>
      </c>
      <c r="D56" s="448">
        <v>30081030</v>
      </c>
      <c r="E56" s="449" t="s">
        <v>2098</v>
      </c>
      <c r="F56" s="450" t="s">
        <v>147</v>
      </c>
      <c r="G56" s="451" t="s">
        <v>2025</v>
      </c>
      <c r="H56" s="472" t="s">
        <v>2099</v>
      </c>
      <c r="I56" s="452" t="s">
        <v>57</v>
      </c>
      <c r="J56" s="476">
        <v>5848986</v>
      </c>
      <c r="K56" s="477">
        <v>5617006</v>
      </c>
      <c r="L56" s="456">
        <v>3</v>
      </c>
      <c r="M56" s="456">
        <v>0</v>
      </c>
      <c r="N56" s="456">
        <v>91460</v>
      </c>
      <c r="O56" s="456">
        <v>1750</v>
      </c>
      <c r="P56" s="456"/>
      <c r="Q56" s="456"/>
      <c r="R56" s="456"/>
      <c r="S56" s="456"/>
      <c r="T56" s="456"/>
      <c r="U56" s="456"/>
      <c r="V56" s="456"/>
      <c r="W56" s="456"/>
      <c r="X56" s="456"/>
      <c r="Y56" s="456">
        <f t="shared" si="0"/>
        <v>93210</v>
      </c>
      <c r="Z56" s="457">
        <v>219142</v>
      </c>
      <c r="AA56" s="468" t="s">
        <v>2060</v>
      </c>
      <c r="AB56" s="459">
        <v>44237</v>
      </c>
      <c r="AC56" s="464">
        <v>44251</v>
      </c>
      <c r="AD56" s="457"/>
      <c r="AE56" s="469"/>
      <c r="AF56" s="463"/>
      <c r="AG56" s="464"/>
      <c r="AH56" s="457"/>
      <c r="AI56" s="468"/>
      <c r="AJ56" s="463"/>
      <c r="AK56" s="464"/>
      <c r="AL56" s="457"/>
      <c r="AM56" s="468"/>
      <c r="AN56" s="463"/>
      <c r="AO56" s="464"/>
      <c r="AP56" s="457"/>
      <c r="AQ56" s="468"/>
      <c r="AR56" s="463"/>
      <c r="AS56" s="464"/>
      <c r="AT56" s="37">
        <f t="shared" si="1"/>
        <v>219142</v>
      </c>
      <c r="AU56" s="465">
        <f t="shared" si="2"/>
        <v>125932</v>
      </c>
      <c r="AV56" s="466"/>
    </row>
    <row r="57" spans="2:48" s="26" customFormat="1" x14ac:dyDescent="0.2">
      <c r="B57" s="27">
        <f t="shared" si="3"/>
        <v>41</v>
      </c>
      <c r="C57" s="447" t="s">
        <v>39</v>
      </c>
      <c r="D57" s="448">
        <v>30081138</v>
      </c>
      <c r="E57" s="449" t="s">
        <v>2100</v>
      </c>
      <c r="F57" s="450" t="s">
        <v>147</v>
      </c>
      <c r="G57" s="451" t="s">
        <v>2025</v>
      </c>
      <c r="H57" s="472" t="s">
        <v>2101</v>
      </c>
      <c r="I57" s="452" t="s">
        <v>57</v>
      </c>
      <c r="J57" s="476">
        <v>13540448</v>
      </c>
      <c r="K57" s="477">
        <v>11778256</v>
      </c>
      <c r="L57" s="456"/>
      <c r="M57" s="456">
        <v>0</v>
      </c>
      <c r="N57" s="456">
        <v>0</v>
      </c>
      <c r="O57" s="456">
        <v>643325</v>
      </c>
      <c r="P57" s="456"/>
      <c r="Q57" s="456"/>
      <c r="R57" s="456"/>
      <c r="S57" s="456"/>
      <c r="T57" s="456"/>
      <c r="U57" s="456"/>
      <c r="V57" s="456"/>
      <c r="W57" s="456"/>
      <c r="X57" s="456"/>
      <c r="Y57" s="456">
        <f t="shared" si="0"/>
        <v>643325</v>
      </c>
      <c r="Z57" s="457">
        <v>1762192</v>
      </c>
      <c r="AA57" s="468" t="s">
        <v>2060</v>
      </c>
      <c r="AB57" s="459">
        <v>44237</v>
      </c>
      <c r="AC57" s="464">
        <v>44251</v>
      </c>
      <c r="AD57" s="457">
        <v>100000</v>
      </c>
      <c r="AE57" s="469">
        <v>15</v>
      </c>
      <c r="AF57" s="463">
        <v>44259</v>
      </c>
      <c r="AG57" s="464">
        <v>44274</v>
      </c>
      <c r="AH57" s="457"/>
      <c r="AI57" s="468"/>
      <c r="AJ57" s="463"/>
      <c r="AK57" s="464"/>
      <c r="AL57" s="457"/>
      <c r="AM57" s="468"/>
      <c r="AN57" s="463"/>
      <c r="AO57" s="464"/>
      <c r="AP57" s="457"/>
      <c r="AQ57" s="468"/>
      <c r="AR57" s="463"/>
      <c r="AS57" s="464"/>
      <c r="AT57" s="37">
        <f t="shared" si="1"/>
        <v>1862192</v>
      </c>
      <c r="AU57" s="465">
        <f t="shared" si="2"/>
        <v>1218867</v>
      </c>
      <c r="AV57" s="466"/>
    </row>
    <row r="58" spans="2:48" s="26" customFormat="1" x14ac:dyDescent="0.2">
      <c r="B58" s="27">
        <f t="shared" si="3"/>
        <v>42</v>
      </c>
      <c r="C58" s="447" t="s">
        <v>39</v>
      </c>
      <c r="D58" s="448">
        <v>30084193</v>
      </c>
      <c r="E58" s="449" t="s">
        <v>2102</v>
      </c>
      <c r="F58" s="450" t="s">
        <v>147</v>
      </c>
      <c r="G58" s="451" t="s">
        <v>2025</v>
      </c>
      <c r="H58" s="472" t="s">
        <v>2026</v>
      </c>
      <c r="I58" s="452" t="s">
        <v>57</v>
      </c>
      <c r="J58" s="453">
        <v>1276741</v>
      </c>
      <c r="K58" s="476">
        <v>1012275</v>
      </c>
      <c r="L58" s="455">
        <v>0</v>
      </c>
      <c r="M58" s="456">
        <v>0</v>
      </c>
      <c r="N58" s="456">
        <v>92811</v>
      </c>
      <c r="O58" s="456">
        <v>112858</v>
      </c>
      <c r="P58" s="456"/>
      <c r="Q58" s="456"/>
      <c r="R58" s="456"/>
      <c r="S58" s="456"/>
      <c r="T58" s="456"/>
      <c r="U58" s="456"/>
      <c r="V58" s="456"/>
      <c r="W58" s="456"/>
      <c r="X58" s="456"/>
      <c r="Y58" s="456">
        <f t="shared" si="0"/>
        <v>205669</v>
      </c>
      <c r="Z58" s="457">
        <v>226895</v>
      </c>
      <c r="AA58" s="468" t="s">
        <v>144</v>
      </c>
      <c r="AB58" s="459">
        <v>44224</v>
      </c>
      <c r="AC58" s="464">
        <v>44251</v>
      </c>
      <c r="AD58" s="457"/>
      <c r="AE58" s="469"/>
      <c r="AF58" s="463"/>
      <c r="AG58" s="464"/>
      <c r="AH58" s="457"/>
      <c r="AI58" s="468"/>
      <c r="AJ58" s="463"/>
      <c r="AK58" s="464"/>
      <c r="AL58" s="457"/>
      <c r="AM58" s="468"/>
      <c r="AN58" s="463"/>
      <c r="AO58" s="464"/>
      <c r="AP58" s="457"/>
      <c r="AQ58" s="468"/>
      <c r="AR58" s="463"/>
      <c r="AS58" s="464"/>
      <c r="AT58" s="37">
        <f t="shared" si="1"/>
        <v>226895</v>
      </c>
      <c r="AU58" s="465">
        <f t="shared" si="2"/>
        <v>21226</v>
      </c>
      <c r="AV58" s="466"/>
    </row>
    <row r="59" spans="2:48" s="26" customFormat="1" x14ac:dyDescent="0.2">
      <c r="B59" s="27">
        <f t="shared" si="3"/>
        <v>43</v>
      </c>
      <c r="C59" s="447" t="s">
        <v>39</v>
      </c>
      <c r="D59" s="448">
        <v>30084194</v>
      </c>
      <c r="E59" s="449" t="s">
        <v>2103</v>
      </c>
      <c r="F59" s="450" t="s">
        <v>147</v>
      </c>
      <c r="G59" s="451" t="s">
        <v>2025</v>
      </c>
      <c r="H59" s="472" t="s">
        <v>2026</v>
      </c>
      <c r="I59" s="452" t="s">
        <v>57</v>
      </c>
      <c r="J59" s="453">
        <v>907214</v>
      </c>
      <c r="K59" s="476">
        <v>224950</v>
      </c>
      <c r="L59" s="455">
        <v>2</v>
      </c>
      <c r="M59" s="456">
        <v>0</v>
      </c>
      <c r="N59" s="456">
        <v>139351</v>
      </c>
      <c r="O59" s="456">
        <v>219790</v>
      </c>
      <c r="P59" s="456"/>
      <c r="Q59" s="456"/>
      <c r="R59" s="456"/>
      <c r="S59" s="456"/>
      <c r="T59" s="456"/>
      <c r="U59" s="456"/>
      <c r="V59" s="456"/>
      <c r="W59" s="456"/>
      <c r="X59" s="456"/>
      <c r="Y59" s="456">
        <f t="shared" si="0"/>
        <v>359141</v>
      </c>
      <c r="Z59" s="457">
        <v>682262</v>
      </c>
      <c r="AA59" s="468" t="s">
        <v>144</v>
      </c>
      <c r="AB59" s="459">
        <v>44224</v>
      </c>
      <c r="AC59" s="464">
        <v>44251</v>
      </c>
      <c r="AD59" s="457"/>
      <c r="AE59" s="469"/>
      <c r="AF59" s="463"/>
      <c r="AG59" s="464"/>
      <c r="AH59" s="457"/>
      <c r="AI59" s="468"/>
      <c r="AJ59" s="463"/>
      <c r="AK59" s="464"/>
      <c r="AL59" s="457"/>
      <c r="AM59" s="468"/>
      <c r="AN59" s="463"/>
      <c r="AO59" s="464"/>
      <c r="AP59" s="457"/>
      <c r="AQ59" s="468"/>
      <c r="AR59" s="463"/>
      <c r="AS59" s="464"/>
      <c r="AT59" s="37">
        <f t="shared" si="1"/>
        <v>682262</v>
      </c>
      <c r="AU59" s="465">
        <f t="shared" si="2"/>
        <v>323121</v>
      </c>
      <c r="AV59" s="466"/>
    </row>
    <row r="60" spans="2:48" s="26" customFormat="1" x14ac:dyDescent="0.2">
      <c r="B60" s="27">
        <f t="shared" si="3"/>
        <v>44</v>
      </c>
      <c r="C60" s="447" t="s">
        <v>39</v>
      </c>
      <c r="D60" s="448">
        <v>30084212</v>
      </c>
      <c r="E60" s="449" t="s">
        <v>2104</v>
      </c>
      <c r="F60" s="450" t="s">
        <v>147</v>
      </c>
      <c r="G60" s="451" t="s">
        <v>2025</v>
      </c>
      <c r="H60" s="472" t="s">
        <v>2026</v>
      </c>
      <c r="I60" s="452" t="s">
        <v>57</v>
      </c>
      <c r="J60" s="453">
        <v>1516690</v>
      </c>
      <c r="K60" s="476">
        <v>562375</v>
      </c>
      <c r="L60" s="455">
        <v>2</v>
      </c>
      <c r="M60" s="456">
        <v>0</v>
      </c>
      <c r="N60" s="456">
        <v>259005</v>
      </c>
      <c r="O60" s="456">
        <v>98986</v>
      </c>
      <c r="P60" s="456"/>
      <c r="Q60" s="456"/>
      <c r="R60" s="456"/>
      <c r="S60" s="456"/>
      <c r="T60" s="456"/>
      <c r="U60" s="456"/>
      <c r="V60" s="456"/>
      <c r="W60" s="456"/>
      <c r="X60" s="456"/>
      <c r="Y60" s="456">
        <f t="shared" si="0"/>
        <v>357991</v>
      </c>
      <c r="Z60" s="457">
        <v>954313</v>
      </c>
      <c r="AA60" s="468" t="s">
        <v>144</v>
      </c>
      <c r="AB60" s="459">
        <v>44224</v>
      </c>
      <c r="AC60" s="464">
        <v>44251</v>
      </c>
      <c r="AD60" s="457"/>
      <c r="AE60" s="469"/>
      <c r="AF60" s="463"/>
      <c r="AG60" s="464"/>
      <c r="AH60" s="457"/>
      <c r="AI60" s="468"/>
      <c r="AJ60" s="463"/>
      <c r="AK60" s="464"/>
      <c r="AL60" s="457"/>
      <c r="AM60" s="468"/>
      <c r="AN60" s="463"/>
      <c r="AO60" s="464"/>
      <c r="AP60" s="457"/>
      <c r="AQ60" s="468"/>
      <c r="AR60" s="463"/>
      <c r="AS60" s="464"/>
      <c r="AT60" s="37">
        <f t="shared" si="1"/>
        <v>954313</v>
      </c>
      <c r="AU60" s="465">
        <f t="shared" si="2"/>
        <v>596322</v>
      </c>
      <c r="AV60" s="466"/>
    </row>
    <row r="61" spans="2:48" s="26" customFormat="1" x14ac:dyDescent="0.2">
      <c r="B61" s="27">
        <f t="shared" si="3"/>
        <v>45</v>
      </c>
      <c r="C61" s="447" t="s">
        <v>39</v>
      </c>
      <c r="D61" s="448">
        <v>30084551</v>
      </c>
      <c r="E61" s="449" t="s">
        <v>2105</v>
      </c>
      <c r="F61" s="450" t="s">
        <v>147</v>
      </c>
      <c r="G61" s="451" t="s">
        <v>2025</v>
      </c>
      <c r="H61" s="472" t="s">
        <v>2106</v>
      </c>
      <c r="I61" s="452" t="s">
        <v>57</v>
      </c>
      <c r="J61" s="476">
        <v>5188085</v>
      </c>
      <c r="K61" s="477">
        <v>497530</v>
      </c>
      <c r="L61" s="456">
        <v>2967669</v>
      </c>
      <c r="M61" s="456">
        <v>0</v>
      </c>
      <c r="N61" s="456">
        <v>107216</v>
      </c>
      <c r="O61" s="456">
        <v>29128</v>
      </c>
      <c r="P61" s="456"/>
      <c r="Q61" s="456"/>
      <c r="R61" s="456"/>
      <c r="S61" s="456"/>
      <c r="T61" s="456"/>
      <c r="U61" s="456"/>
      <c r="V61" s="456"/>
      <c r="W61" s="456"/>
      <c r="X61" s="456"/>
      <c r="Y61" s="456">
        <f t="shared" si="0"/>
        <v>136344</v>
      </c>
      <c r="Z61" s="457">
        <v>1722802</v>
      </c>
      <c r="AA61" s="468" t="s">
        <v>2060</v>
      </c>
      <c r="AB61" s="459">
        <v>44237</v>
      </c>
      <c r="AC61" s="464">
        <v>44251</v>
      </c>
      <c r="AD61" s="457"/>
      <c r="AE61" s="469"/>
      <c r="AF61" s="463"/>
      <c r="AG61" s="464"/>
      <c r="AH61" s="457"/>
      <c r="AI61" s="468"/>
      <c r="AJ61" s="463"/>
      <c r="AK61" s="464"/>
      <c r="AL61" s="457"/>
      <c r="AM61" s="468"/>
      <c r="AN61" s="463"/>
      <c r="AO61" s="464"/>
      <c r="AP61" s="457"/>
      <c r="AQ61" s="468"/>
      <c r="AR61" s="463"/>
      <c r="AS61" s="464"/>
      <c r="AT61" s="37">
        <f t="shared" si="1"/>
        <v>1722802</v>
      </c>
      <c r="AU61" s="465">
        <f t="shared" si="2"/>
        <v>1586458</v>
      </c>
      <c r="AV61" s="466"/>
    </row>
    <row r="62" spans="2:48" s="26" customFormat="1" x14ac:dyDescent="0.2">
      <c r="B62" s="27">
        <f t="shared" si="3"/>
        <v>46</v>
      </c>
      <c r="C62" s="447" t="s">
        <v>39</v>
      </c>
      <c r="D62" s="448">
        <v>30085715</v>
      </c>
      <c r="E62" s="449" t="s">
        <v>2107</v>
      </c>
      <c r="F62" s="450" t="s">
        <v>147</v>
      </c>
      <c r="G62" s="451" t="s">
        <v>2025</v>
      </c>
      <c r="H62" s="472" t="s">
        <v>2108</v>
      </c>
      <c r="I62" s="452" t="s">
        <v>72</v>
      </c>
      <c r="J62" s="453">
        <v>3120132</v>
      </c>
      <c r="K62" s="478">
        <v>9723</v>
      </c>
      <c r="L62" s="455">
        <v>2896197</v>
      </c>
      <c r="M62" s="456">
        <v>0</v>
      </c>
      <c r="N62" s="456">
        <v>0</v>
      </c>
      <c r="O62" s="456">
        <v>3165</v>
      </c>
      <c r="P62" s="456"/>
      <c r="Q62" s="456"/>
      <c r="R62" s="456"/>
      <c r="S62" s="456"/>
      <c r="T62" s="456"/>
      <c r="U62" s="456"/>
      <c r="V62" s="456"/>
      <c r="W62" s="456"/>
      <c r="X62" s="456"/>
      <c r="Y62" s="456">
        <f t="shared" si="0"/>
        <v>3165</v>
      </c>
      <c r="Z62" s="457">
        <v>213168</v>
      </c>
      <c r="AA62" s="468" t="s">
        <v>2037</v>
      </c>
      <c r="AB62" s="459">
        <v>44222</v>
      </c>
      <c r="AC62" s="464">
        <v>44225</v>
      </c>
      <c r="AD62" s="457"/>
      <c r="AE62" s="469"/>
      <c r="AF62" s="463"/>
      <c r="AG62" s="464"/>
      <c r="AH62" s="457"/>
      <c r="AI62" s="468"/>
      <c r="AJ62" s="463"/>
      <c r="AK62" s="464"/>
      <c r="AL62" s="457"/>
      <c r="AM62" s="468"/>
      <c r="AN62" s="463"/>
      <c r="AO62" s="464"/>
      <c r="AP62" s="457"/>
      <c r="AQ62" s="468"/>
      <c r="AR62" s="463"/>
      <c r="AS62" s="464"/>
      <c r="AT62" s="37">
        <f t="shared" si="1"/>
        <v>213168</v>
      </c>
      <c r="AU62" s="465">
        <f t="shared" si="2"/>
        <v>210003</v>
      </c>
      <c r="AV62" s="466"/>
    </row>
    <row r="63" spans="2:48" s="26" customFormat="1" ht="22.5" x14ac:dyDescent="0.2">
      <c r="B63" s="27">
        <f t="shared" si="3"/>
        <v>47</v>
      </c>
      <c r="C63" s="447" t="s">
        <v>39</v>
      </c>
      <c r="D63" s="448">
        <v>30086068</v>
      </c>
      <c r="E63" s="449" t="s">
        <v>2109</v>
      </c>
      <c r="F63" s="450" t="s">
        <v>147</v>
      </c>
      <c r="G63" s="451" t="s">
        <v>2025</v>
      </c>
      <c r="H63" s="472" t="s">
        <v>2034</v>
      </c>
      <c r="I63" s="452" t="s">
        <v>57</v>
      </c>
      <c r="J63" s="453">
        <v>3847756</v>
      </c>
      <c r="K63" s="476">
        <v>3823426</v>
      </c>
      <c r="L63" s="455">
        <v>0</v>
      </c>
      <c r="M63" s="456">
        <v>0</v>
      </c>
      <c r="N63" s="456">
        <v>0</v>
      </c>
      <c r="O63" s="456">
        <v>0</v>
      </c>
      <c r="P63" s="456"/>
      <c r="Q63" s="456"/>
      <c r="R63" s="456"/>
      <c r="S63" s="456"/>
      <c r="T63" s="456"/>
      <c r="U63" s="456"/>
      <c r="V63" s="456"/>
      <c r="W63" s="456"/>
      <c r="X63" s="456"/>
      <c r="Y63" s="456">
        <f t="shared" si="0"/>
        <v>0</v>
      </c>
      <c r="Z63" s="457">
        <v>24330</v>
      </c>
      <c r="AA63" s="468" t="s">
        <v>144</v>
      </c>
      <c r="AB63" s="459">
        <v>44224</v>
      </c>
      <c r="AC63" s="464">
        <v>44251</v>
      </c>
      <c r="AD63" s="457"/>
      <c r="AE63" s="469"/>
      <c r="AF63" s="463"/>
      <c r="AG63" s="464"/>
      <c r="AH63" s="457"/>
      <c r="AI63" s="468"/>
      <c r="AJ63" s="463"/>
      <c r="AK63" s="464"/>
      <c r="AL63" s="457"/>
      <c r="AM63" s="468"/>
      <c r="AN63" s="463"/>
      <c r="AO63" s="464"/>
      <c r="AP63" s="457"/>
      <c r="AQ63" s="468"/>
      <c r="AR63" s="463"/>
      <c r="AS63" s="464"/>
      <c r="AT63" s="37">
        <f t="shared" si="1"/>
        <v>24330</v>
      </c>
      <c r="AU63" s="465">
        <f t="shared" si="2"/>
        <v>24330</v>
      </c>
      <c r="AV63" s="466"/>
    </row>
    <row r="64" spans="2:48" s="26" customFormat="1" x14ac:dyDescent="0.2">
      <c r="B64" s="27">
        <f t="shared" si="3"/>
        <v>48</v>
      </c>
      <c r="C64" s="447" t="s">
        <v>39</v>
      </c>
      <c r="D64" s="448">
        <v>30087927</v>
      </c>
      <c r="E64" s="449" t="s">
        <v>2110</v>
      </c>
      <c r="F64" s="450" t="s">
        <v>147</v>
      </c>
      <c r="G64" s="451" t="s">
        <v>2025</v>
      </c>
      <c r="H64" s="472" t="s">
        <v>2094</v>
      </c>
      <c r="I64" s="452" t="s">
        <v>57</v>
      </c>
      <c r="J64" s="476">
        <v>1406372</v>
      </c>
      <c r="K64" s="477">
        <v>1336666</v>
      </c>
      <c r="L64" s="456">
        <v>0</v>
      </c>
      <c r="M64" s="456">
        <v>0</v>
      </c>
      <c r="N64" s="456">
        <v>797</v>
      </c>
      <c r="O64" s="456">
        <v>4440</v>
      </c>
      <c r="P64" s="456"/>
      <c r="Q64" s="456"/>
      <c r="R64" s="456"/>
      <c r="S64" s="456"/>
      <c r="T64" s="456"/>
      <c r="U64" s="456"/>
      <c r="V64" s="456"/>
      <c r="W64" s="456"/>
      <c r="X64" s="456"/>
      <c r="Y64" s="456">
        <f t="shared" si="0"/>
        <v>5237</v>
      </c>
      <c r="Z64" s="457">
        <v>69706</v>
      </c>
      <c r="AA64" s="468" t="s">
        <v>2060</v>
      </c>
      <c r="AB64" s="459">
        <v>44237</v>
      </c>
      <c r="AC64" s="464">
        <v>44251</v>
      </c>
      <c r="AD64" s="457"/>
      <c r="AE64" s="469"/>
      <c r="AF64" s="463"/>
      <c r="AG64" s="464"/>
      <c r="AH64" s="457"/>
      <c r="AI64" s="468"/>
      <c r="AJ64" s="463"/>
      <c r="AK64" s="464"/>
      <c r="AL64" s="457"/>
      <c r="AM64" s="468"/>
      <c r="AN64" s="463"/>
      <c r="AO64" s="464"/>
      <c r="AP64" s="457"/>
      <c r="AQ64" s="468"/>
      <c r="AR64" s="463"/>
      <c r="AS64" s="464"/>
      <c r="AT64" s="37">
        <f t="shared" si="1"/>
        <v>69706</v>
      </c>
      <c r="AU64" s="465">
        <f t="shared" si="2"/>
        <v>64469</v>
      </c>
      <c r="AV64" s="466"/>
    </row>
    <row r="65" spans="2:48" s="26" customFormat="1" x14ac:dyDescent="0.2">
      <c r="B65" s="27">
        <f t="shared" si="3"/>
        <v>49</v>
      </c>
      <c r="C65" s="447" t="s">
        <v>39</v>
      </c>
      <c r="D65" s="448">
        <v>30091981</v>
      </c>
      <c r="E65" s="449" t="s">
        <v>2111</v>
      </c>
      <c r="F65" s="450" t="s">
        <v>147</v>
      </c>
      <c r="G65" s="451" t="s">
        <v>2025</v>
      </c>
      <c r="H65" s="472" t="s">
        <v>2057</v>
      </c>
      <c r="I65" s="452" t="s">
        <v>72</v>
      </c>
      <c r="J65" s="453">
        <v>5790497</v>
      </c>
      <c r="K65" s="476">
        <v>0</v>
      </c>
      <c r="L65" s="455">
        <v>3590497</v>
      </c>
      <c r="M65" s="456">
        <v>0</v>
      </c>
      <c r="N65" s="456">
        <v>0</v>
      </c>
      <c r="O65" s="456">
        <v>0</v>
      </c>
      <c r="P65" s="456"/>
      <c r="Q65" s="456"/>
      <c r="R65" s="456"/>
      <c r="S65" s="456"/>
      <c r="T65" s="456"/>
      <c r="U65" s="456"/>
      <c r="V65" s="456"/>
      <c r="W65" s="456"/>
      <c r="X65" s="456"/>
      <c r="Y65" s="456">
        <f t="shared" si="0"/>
        <v>0</v>
      </c>
      <c r="Z65" s="457">
        <v>2218008</v>
      </c>
      <c r="AA65" s="468" t="s">
        <v>144</v>
      </c>
      <c r="AB65" s="459">
        <v>44224</v>
      </c>
      <c r="AC65" s="464">
        <v>44251</v>
      </c>
      <c r="AD65" s="457"/>
      <c r="AE65" s="469"/>
      <c r="AF65" s="463"/>
      <c r="AG65" s="464"/>
      <c r="AH65" s="457"/>
      <c r="AI65" s="468"/>
      <c r="AJ65" s="463"/>
      <c r="AK65" s="464"/>
      <c r="AL65" s="457"/>
      <c r="AM65" s="468"/>
      <c r="AN65" s="463"/>
      <c r="AO65" s="464"/>
      <c r="AP65" s="457"/>
      <c r="AQ65" s="468"/>
      <c r="AR65" s="463"/>
      <c r="AS65" s="464"/>
      <c r="AT65" s="37">
        <f t="shared" si="1"/>
        <v>2218008</v>
      </c>
      <c r="AU65" s="465">
        <f t="shared" si="2"/>
        <v>2218008</v>
      </c>
      <c r="AV65" s="466"/>
    </row>
    <row r="66" spans="2:48" s="26" customFormat="1" x14ac:dyDescent="0.2">
      <c r="B66" s="27">
        <f t="shared" si="3"/>
        <v>50</v>
      </c>
      <c r="C66" s="447" t="s">
        <v>39</v>
      </c>
      <c r="D66" s="448">
        <v>30092176</v>
      </c>
      <c r="E66" s="449" t="s">
        <v>2112</v>
      </c>
      <c r="F66" s="450" t="s">
        <v>147</v>
      </c>
      <c r="G66" s="451" t="s">
        <v>2025</v>
      </c>
      <c r="H66" s="472" t="s">
        <v>2113</v>
      </c>
      <c r="I66" s="452" t="s">
        <v>57</v>
      </c>
      <c r="J66" s="476">
        <v>3822417</v>
      </c>
      <c r="K66" s="477">
        <v>3815877</v>
      </c>
      <c r="L66" s="456">
        <v>0</v>
      </c>
      <c r="M66" s="456">
        <v>0</v>
      </c>
      <c r="N66" s="456">
        <v>0</v>
      </c>
      <c r="O66" s="456">
        <v>0</v>
      </c>
      <c r="P66" s="456"/>
      <c r="Q66" s="456"/>
      <c r="R66" s="456"/>
      <c r="S66" s="456"/>
      <c r="T66" s="456"/>
      <c r="U66" s="456"/>
      <c r="V66" s="456"/>
      <c r="W66" s="456"/>
      <c r="X66" s="456"/>
      <c r="Y66" s="456">
        <f t="shared" si="0"/>
        <v>0</v>
      </c>
      <c r="Z66" s="457">
        <v>6540</v>
      </c>
      <c r="AA66" s="468" t="s">
        <v>2060</v>
      </c>
      <c r="AB66" s="459">
        <v>44237</v>
      </c>
      <c r="AC66" s="464">
        <v>44251</v>
      </c>
      <c r="AD66" s="457"/>
      <c r="AE66" s="469"/>
      <c r="AF66" s="463"/>
      <c r="AG66" s="464"/>
      <c r="AH66" s="457"/>
      <c r="AI66" s="468"/>
      <c r="AJ66" s="463"/>
      <c r="AK66" s="464"/>
      <c r="AL66" s="457"/>
      <c r="AM66" s="468"/>
      <c r="AN66" s="463"/>
      <c r="AO66" s="464"/>
      <c r="AP66" s="457"/>
      <c r="AQ66" s="468"/>
      <c r="AR66" s="463"/>
      <c r="AS66" s="464"/>
      <c r="AT66" s="37">
        <f t="shared" si="1"/>
        <v>6540</v>
      </c>
      <c r="AU66" s="465">
        <f t="shared" si="2"/>
        <v>6540</v>
      </c>
      <c r="AV66" s="466"/>
    </row>
    <row r="67" spans="2:48" s="26" customFormat="1" x14ac:dyDescent="0.2">
      <c r="B67" s="27">
        <f t="shared" si="3"/>
        <v>51</v>
      </c>
      <c r="C67" s="447" t="s">
        <v>39</v>
      </c>
      <c r="D67" s="448">
        <v>30093247</v>
      </c>
      <c r="E67" s="449" t="s">
        <v>2114</v>
      </c>
      <c r="F67" s="450" t="s">
        <v>147</v>
      </c>
      <c r="G67" s="451" t="s">
        <v>2025</v>
      </c>
      <c r="H67" s="472" t="s">
        <v>2086</v>
      </c>
      <c r="I67" s="452" t="s">
        <v>57</v>
      </c>
      <c r="J67" s="476">
        <v>1263979</v>
      </c>
      <c r="K67" s="477">
        <v>1254912</v>
      </c>
      <c r="L67" s="456">
        <v>0</v>
      </c>
      <c r="M67" s="456">
        <v>0</v>
      </c>
      <c r="N67" s="456">
        <v>0</v>
      </c>
      <c r="O67" s="456">
        <v>0</v>
      </c>
      <c r="P67" s="456"/>
      <c r="Q67" s="456"/>
      <c r="R67" s="456"/>
      <c r="S67" s="456"/>
      <c r="T67" s="456"/>
      <c r="U67" s="456"/>
      <c r="V67" s="456"/>
      <c r="W67" s="456"/>
      <c r="X67" s="456"/>
      <c r="Y67" s="456">
        <f t="shared" si="0"/>
        <v>0</v>
      </c>
      <c r="Z67" s="457">
        <v>9067</v>
      </c>
      <c r="AA67" s="468" t="s">
        <v>2060</v>
      </c>
      <c r="AB67" s="459">
        <v>44237</v>
      </c>
      <c r="AC67" s="464">
        <v>44251</v>
      </c>
      <c r="AD67" s="457"/>
      <c r="AE67" s="469"/>
      <c r="AF67" s="463"/>
      <c r="AG67" s="464"/>
      <c r="AH67" s="457"/>
      <c r="AI67" s="468"/>
      <c r="AJ67" s="463"/>
      <c r="AK67" s="464"/>
      <c r="AL67" s="457"/>
      <c r="AM67" s="468"/>
      <c r="AN67" s="463"/>
      <c r="AO67" s="464"/>
      <c r="AP67" s="457"/>
      <c r="AQ67" s="468"/>
      <c r="AR67" s="463"/>
      <c r="AS67" s="464"/>
      <c r="AT67" s="37">
        <f t="shared" si="1"/>
        <v>9067</v>
      </c>
      <c r="AU67" s="465">
        <f t="shared" si="2"/>
        <v>9067</v>
      </c>
      <c r="AV67" s="466"/>
    </row>
    <row r="68" spans="2:48" s="26" customFormat="1" x14ac:dyDescent="0.2">
      <c r="B68" s="27">
        <f t="shared" si="3"/>
        <v>52</v>
      </c>
      <c r="C68" s="447" t="s">
        <v>39</v>
      </c>
      <c r="D68" s="448">
        <v>30094632</v>
      </c>
      <c r="E68" s="449" t="s">
        <v>2115</v>
      </c>
      <c r="F68" s="450" t="s">
        <v>147</v>
      </c>
      <c r="G68" s="451" t="s">
        <v>2025</v>
      </c>
      <c r="H68" s="472" t="s">
        <v>2116</v>
      </c>
      <c r="I68" s="452" t="s">
        <v>57</v>
      </c>
      <c r="J68" s="453">
        <v>1184615</v>
      </c>
      <c r="K68" s="476">
        <v>697345</v>
      </c>
      <c r="L68" s="455">
        <v>0</v>
      </c>
      <c r="M68" s="456">
        <v>0</v>
      </c>
      <c r="N68" s="456">
        <v>102827</v>
      </c>
      <c r="O68" s="456">
        <v>38485</v>
      </c>
      <c r="P68" s="456"/>
      <c r="Q68" s="456"/>
      <c r="R68" s="456"/>
      <c r="S68" s="456"/>
      <c r="T68" s="456"/>
      <c r="U68" s="456"/>
      <c r="V68" s="456"/>
      <c r="W68" s="456"/>
      <c r="X68" s="456"/>
      <c r="Y68" s="456">
        <f t="shared" si="0"/>
        <v>141312</v>
      </c>
      <c r="Z68" s="457">
        <v>481109</v>
      </c>
      <c r="AA68" s="468" t="s">
        <v>144</v>
      </c>
      <c r="AB68" s="459">
        <v>44224</v>
      </c>
      <c r="AC68" s="464">
        <v>44251</v>
      </c>
      <c r="AD68" s="457"/>
      <c r="AE68" s="469"/>
      <c r="AF68" s="463"/>
      <c r="AG68" s="464"/>
      <c r="AH68" s="457"/>
      <c r="AI68" s="468"/>
      <c r="AJ68" s="463"/>
      <c r="AK68" s="464"/>
      <c r="AL68" s="457"/>
      <c r="AM68" s="468"/>
      <c r="AN68" s="463"/>
      <c r="AO68" s="464"/>
      <c r="AP68" s="457"/>
      <c r="AQ68" s="468"/>
      <c r="AR68" s="463"/>
      <c r="AS68" s="464"/>
      <c r="AT68" s="37">
        <f t="shared" si="1"/>
        <v>481109</v>
      </c>
      <c r="AU68" s="465">
        <f t="shared" si="2"/>
        <v>339797</v>
      </c>
      <c r="AV68" s="466"/>
    </row>
    <row r="69" spans="2:48" s="26" customFormat="1" x14ac:dyDescent="0.2">
      <c r="B69" s="27">
        <f t="shared" si="3"/>
        <v>53</v>
      </c>
      <c r="C69" s="447" t="s">
        <v>39</v>
      </c>
      <c r="D69" s="448">
        <v>30095197</v>
      </c>
      <c r="E69" s="449" t="s">
        <v>2117</v>
      </c>
      <c r="F69" s="450" t="s">
        <v>147</v>
      </c>
      <c r="G69" s="451" t="s">
        <v>2025</v>
      </c>
      <c r="H69" s="472" t="s">
        <v>2062</v>
      </c>
      <c r="I69" s="452" t="s">
        <v>57</v>
      </c>
      <c r="J69" s="453">
        <v>56956382</v>
      </c>
      <c r="K69" s="475">
        <v>40969229</v>
      </c>
      <c r="L69" s="456">
        <v>0</v>
      </c>
      <c r="M69" s="456">
        <v>0</v>
      </c>
      <c r="N69" s="456">
        <v>0</v>
      </c>
      <c r="O69" s="456">
        <v>0</v>
      </c>
      <c r="P69" s="456"/>
      <c r="Q69" s="456"/>
      <c r="R69" s="456"/>
      <c r="S69" s="456"/>
      <c r="T69" s="456"/>
      <c r="U69" s="456"/>
      <c r="V69" s="456"/>
      <c r="W69" s="456"/>
      <c r="X69" s="456"/>
      <c r="Y69" s="456">
        <f t="shared" si="0"/>
        <v>0</v>
      </c>
      <c r="Z69" s="457">
        <v>3100000</v>
      </c>
      <c r="AA69" s="468" t="s">
        <v>2020</v>
      </c>
      <c r="AB69" s="459">
        <v>44232</v>
      </c>
      <c r="AC69" s="464">
        <v>44251</v>
      </c>
      <c r="AD69" s="457"/>
      <c r="AE69" s="469"/>
      <c r="AF69" s="463"/>
      <c r="AG69" s="464"/>
      <c r="AH69" s="457"/>
      <c r="AI69" s="468"/>
      <c r="AJ69" s="463"/>
      <c r="AK69" s="464"/>
      <c r="AL69" s="457"/>
      <c r="AM69" s="468"/>
      <c r="AN69" s="463"/>
      <c r="AO69" s="464"/>
      <c r="AP69" s="457"/>
      <c r="AQ69" s="468"/>
      <c r="AR69" s="463"/>
      <c r="AS69" s="464"/>
      <c r="AT69" s="37">
        <f t="shared" si="1"/>
        <v>3100000</v>
      </c>
      <c r="AU69" s="465">
        <f t="shared" si="2"/>
        <v>3100000</v>
      </c>
      <c r="AV69" s="466"/>
    </row>
    <row r="70" spans="2:48" s="26" customFormat="1" x14ac:dyDescent="0.2">
      <c r="B70" s="27">
        <f t="shared" si="3"/>
        <v>54</v>
      </c>
      <c r="C70" s="447" t="s">
        <v>39</v>
      </c>
      <c r="D70" s="448">
        <v>30096155</v>
      </c>
      <c r="E70" s="449" t="s">
        <v>2118</v>
      </c>
      <c r="F70" s="450" t="s">
        <v>147</v>
      </c>
      <c r="G70" s="451" t="s">
        <v>2025</v>
      </c>
      <c r="H70" s="472" t="s">
        <v>2068</v>
      </c>
      <c r="I70" s="452" t="s">
        <v>57</v>
      </c>
      <c r="J70" s="453">
        <v>1317559</v>
      </c>
      <c r="K70" s="454">
        <v>1012275</v>
      </c>
      <c r="L70" s="455">
        <v>0</v>
      </c>
      <c r="M70" s="456">
        <v>0</v>
      </c>
      <c r="N70" s="456">
        <v>111092</v>
      </c>
      <c r="O70" s="456">
        <v>81079</v>
      </c>
      <c r="P70" s="456"/>
      <c r="Q70" s="456"/>
      <c r="R70" s="456"/>
      <c r="S70" s="456"/>
      <c r="T70" s="456"/>
      <c r="U70" s="456"/>
      <c r="V70" s="456"/>
      <c r="W70" s="456"/>
      <c r="X70" s="456"/>
      <c r="Y70" s="456">
        <f t="shared" si="0"/>
        <v>192171</v>
      </c>
      <c r="Z70" s="457">
        <v>298566</v>
      </c>
      <c r="AA70" s="468" t="s">
        <v>144</v>
      </c>
      <c r="AB70" s="459">
        <v>44224</v>
      </c>
      <c r="AC70" s="464">
        <v>44251</v>
      </c>
      <c r="AD70" s="457"/>
      <c r="AE70" s="469"/>
      <c r="AF70" s="463"/>
      <c r="AG70" s="464"/>
      <c r="AH70" s="457"/>
      <c r="AI70" s="468"/>
      <c r="AJ70" s="463"/>
      <c r="AK70" s="464"/>
      <c r="AL70" s="457"/>
      <c r="AM70" s="468"/>
      <c r="AN70" s="463"/>
      <c r="AO70" s="464"/>
      <c r="AP70" s="457"/>
      <c r="AQ70" s="468"/>
      <c r="AR70" s="463"/>
      <c r="AS70" s="464"/>
      <c r="AT70" s="37">
        <f t="shared" si="1"/>
        <v>298566</v>
      </c>
      <c r="AU70" s="465">
        <f t="shared" si="2"/>
        <v>106395</v>
      </c>
      <c r="AV70" s="466"/>
    </row>
    <row r="71" spans="2:48" s="26" customFormat="1" x14ac:dyDescent="0.2">
      <c r="B71" s="27">
        <f t="shared" si="3"/>
        <v>55</v>
      </c>
      <c r="C71" s="447" t="s">
        <v>39</v>
      </c>
      <c r="D71" s="448">
        <v>30096275</v>
      </c>
      <c r="E71" s="449" t="s">
        <v>2119</v>
      </c>
      <c r="F71" s="450" t="s">
        <v>147</v>
      </c>
      <c r="G71" s="451" t="s">
        <v>2025</v>
      </c>
      <c r="H71" s="472" t="s">
        <v>2076</v>
      </c>
      <c r="I71" s="452" t="s">
        <v>57</v>
      </c>
      <c r="J71" s="453">
        <v>362900</v>
      </c>
      <c r="K71" s="467">
        <v>314285</v>
      </c>
      <c r="L71" s="456">
        <v>0</v>
      </c>
      <c r="M71" s="456">
        <v>0</v>
      </c>
      <c r="N71" s="456">
        <v>0</v>
      </c>
      <c r="O71" s="456">
        <v>0</v>
      </c>
      <c r="P71" s="456"/>
      <c r="Q71" s="456"/>
      <c r="R71" s="456"/>
      <c r="S71" s="456"/>
      <c r="T71" s="456"/>
      <c r="U71" s="456"/>
      <c r="V71" s="456"/>
      <c r="W71" s="456"/>
      <c r="X71" s="456"/>
      <c r="Y71" s="456">
        <f t="shared" si="0"/>
        <v>0</v>
      </c>
      <c r="Z71" s="457">
        <v>1</v>
      </c>
      <c r="AA71" s="468" t="s">
        <v>2020</v>
      </c>
      <c r="AB71" s="459">
        <v>44232</v>
      </c>
      <c r="AC71" s="464">
        <v>44251</v>
      </c>
      <c r="AD71" s="457"/>
      <c r="AE71" s="469"/>
      <c r="AF71" s="463"/>
      <c r="AG71" s="464"/>
      <c r="AH71" s="457"/>
      <c r="AI71" s="468"/>
      <c r="AJ71" s="463"/>
      <c r="AK71" s="464"/>
      <c r="AL71" s="457"/>
      <c r="AM71" s="468"/>
      <c r="AN71" s="463"/>
      <c r="AO71" s="464"/>
      <c r="AP71" s="457"/>
      <c r="AQ71" s="468"/>
      <c r="AR71" s="463"/>
      <c r="AS71" s="464"/>
      <c r="AT71" s="37">
        <f t="shared" si="1"/>
        <v>1</v>
      </c>
      <c r="AU71" s="465">
        <f t="shared" si="2"/>
        <v>1</v>
      </c>
      <c r="AV71" s="466"/>
    </row>
    <row r="72" spans="2:48" s="26" customFormat="1" x14ac:dyDescent="0.2">
      <c r="B72" s="27">
        <f t="shared" si="3"/>
        <v>56</v>
      </c>
      <c r="C72" s="447" t="s">
        <v>39</v>
      </c>
      <c r="D72" s="448">
        <v>30096407</v>
      </c>
      <c r="E72" s="449" t="s">
        <v>2120</v>
      </c>
      <c r="F72" s="450" t="s">
        <v>147</v>
      </c>
      <c r="G72" s="451" t="s">
        <v>2025</v>
      </c>
      <c r="H72" s="472" t="s">
        <v>2121</v>
      </c>
      <c r="I72" s="452" t="s">
        <v>72</v>
      </c>
      <c r="J72" s="453">
        <v>571678</v>
      </c>
      <c r="K72" s="467">
        <v>0</v>
      </c>
      <c r="L72" s="456">
        <v>404816</v>
      </c>
      <c r="M72" s="456">
        <v>0</v>
      </c>
      <c r="N72" s="456">
        <v>0</v>
      </c>
      <c r="O72" s="456">
        <v>0</v>
      </c>
      <c r="P72" s="456"/>
      <c r="Q72" s="456"/>
      <c r="R72" s="456"/>
      <c r="S72" s="456"/>
      <c r="T72" s="456"/>
      <c r="U72" s="456"/>
      <c r="V72" s="456"/>
      <c r="W72" s="456"/>
      <c r="X72" s="456"/>
      <c r="Y72" s="456">
        <f t="shared" si="0"/>
        <v>0</v>
      </c>
      <c r="Z72" s="457">
        <v>111002</v>
      </c>
      <c r="AA72" s="468" t="s">
        <v>2084</v>
      </c>
      <c r="AB72" s="459">
        <v>44259</v>
      </c>
      <c r="AC72" s="464">
        <v>44274</v>
      </c>
      <c r="AD72" s="457"/>
      <c r="AE72" s="469"/>
      <c r="AF72" s="463"/>
      <c r="AG72" s="464"/>
      <c r="AH72" s="457"/>
      <c r="AI72" s="468"/>
      <c r="AJ72" s="463"/>
      <c r="AK72" s="464"/>
      <c r="AL72" s="457"/>
      <c r="AM72" s="468"/>
      <c r="AN72" s="463"/>
      <c r="AO72" s="464"/>
      <c r="AP72" s="457"/>
      <c r="AQ72" s="468"/>
      <c r="AR72" s="463"/>
      <c r="AS72" s="464"/>
      <c r="AT72" s="37">
        <f t="shared" si="1"/>
        <v>111002</v>
      </c>
      <c r="AU72" s="465">
        <f t="shared" si="2"/>
        <v>111002</v>
      </c>
      <c r="AV72" s="466"/>
    </row>
    <row r="73" spans="2:48" s="26" customFormat="1" x14ac:dyDescent="0.2">
      <c r="B73" s="27">
        <f t="shared" si="3"/>
        <v>57</v>
      </c>
      <c r="C73" s="447" t="s">
        <v>39</v>
      </c>
      <c r="D73" s="448">
        <v>30096781</v>
      </c>
      <c r="E73" s="449" t="s">
        <v>2122</v>
      </c>
      <c r="F73" s="450" t="s">
        <v>193</v>
      </c>
      <c r="G73" s="451" t="s">
        <v>2025</v>
      </c>
      <c r="H73" s="472" t="s">
        <v>2123</v>
      </c>
      <c r="I73" s="452" t="s">
        <v>57</v>
      </c>
      <c r="J73" s="453">
        <v>50403</v>
      </c>
      <c r="K73" s="454">
        <v>23681</v>
      </c>
      <c r="L73" s="455">
        <v>0</v>
      </c>
      <c r="M73" s="456">
        <v>0</v>
      </c>
      <c r="N73" s="456">
        <v>0</v>
      </c>
      <c r="O73" s="456">
        <v>0</v>
      </c>
      <c r="P73" s="456"/>
      <c r="Q73" s="456"/>
      <c r="R73" s="456"/>
      <c r="S73" s="456"/>
      <c r="T73" s="456"/>
      <c r="U73" s="456"/>
      <c r="V73" s="456"/>
      <c r="W73" s="456"/>
      <c r="X73" s="456"/>
      <c r="Y73" s="456">
        <f t="shared" si="0"/>
        <v>0</v>
      </c>
      <c r="Z73" s="457">
        <v>18950</v>
      </c>
      <c r="AA73" s="468" t="s">
        <v>144</v>
      </c>
      <c r="AB73" s="459">
        <v>44224</v>
      </c>
      <c r="AC73" s="464">
        <v>44251</v>
      </c>
      <c r="AD73" s="457"/>
      <c r="AE73" s="469"/>
      <c r="AF73" s="463"/>
      <c r="AG73" s="464"/>
      <c r="AH73" s="457"/>
      <c r="AI73" s="468"/>
      <c r="AJ73" s="463"/>
      <c r="AK73" s="464"/>
      <c r="AL73" s="457"/>
      <c r="AM73" s="468"/>
      <c r="AN73" s="463"/>
      <c r="AO73" s="464"/>
      <c r="AP73" s="457"/>
      <c r="AQ73" s="468"/>
      <c r="AR73" s="463"/>
      <c r="AS73" s="464"/>
      <c r="AT73" s="37">
        <f t="shared" si="1"/>
        <v>18950</v>
      </c>
      <c r="AU73" s="465">
        <f t="shared" si="2"/>
        <v>18950</v>
      </c>
      <c r="AV73" s="466"/>
    </row>
    <row r="74" spans="2:48" s="26" customFormat="1" x14ac:dyDescent="0.2">
      <c r="B74" s="27">
        <f t="shared" si="3"/>
        <v>58</v>
      </c>
      <c r="C74" s="447" t="s">
        <v>39</v>
      </c>
      <c r="D74" s="448">
        <v>30100340</v>
      </c>
      <c r="E74" s="449" t="s">
        <v>2124</v>
      </c>
      <c r="F74" s="450" t="s">
        <v>193</v>
      </c>
      <c r="G74" s="451" t="s">
        <v>2025</v>
      </c>
      <c r="H74" s="472" t="s">
        <v>2026</v>
      </c>
      <c r="I74" s="452" t="s">
        <v>57</v>
      </c>
      <c r="J74" s="453">
        <v>37675</v>
      </c>
      <c r="K74" s="454">
        <v>13377</v>
      </c>
      <c r="L74" s="455">
        <v>1</v>
      </c>
      <c r="M74" s="456">
        <v>0</v>
      </c>
      <c r="N74" s="456">
        <v>0</v>
      </c>
      <c r="O74" s="456">
        <v>0</v>
      </c>
      <c r="P74" s="456"/>
      <c r="Q74" s="456"/>
      <c r="R74" s="456"/>
      <c r="S74" s="456"/>
      <c r="T74" s="456"/>
      <c r="U74" s="456"/>
      <c r="V74" s="456"/>
      <c r="W74" s="456"/>
      <c r="X74" s="456"/>
      <c r="Y74" s="456">
        <f t="shared" si="0"/>
        <v>0</v>
      </c>
      <c r="Z74" s="457">
        <v>24297</v>
      </c>
      <c r="AA74" s="468" t="s">
        <v>144</v>
      </c>
      <c r="AB74" s="459">
        <v>44224</v>
      </c>
      <c r="AC74" s="464">
        <v>44251</v>
      </c>
      <c r="AD74" s="457"/>
      <c r="AE74" s="469"/>
      <c r="AF74" s="463"/>
      <c r="AG74" s="464"/>
      <c r="AH74" s="457"/>
      <c r="AI74" s="468"/>
      <c r="AJ74" s="463"/>
      <c r="AK74" s="464"/>
      <c r="AL74" s="457"/>
      <c r="AM74" s="468"/>
      <c r="AN74" s="463"/>
      <c r="AO74" s="464"/>
      <c r="AP74" s="457"/>
      <c r="AQ74" s="468"/>
      <c r="AR74" s="463"/>
      <c r="AS74" s="464"/>
      <c r="AT74" s="37">
        <f t="shared" si="1"/>
        <v>24297</v>
      </c>
      <c r="AU74" s="465">
        <f t="shared" si="2"/>
        <v>24297</v>
      </c>
      <c r="AV74" s="466"/>
    </row>
    <row r="75" spans="2:48" s="26" customFormat="1" x14ac:dyDescent="0.2">
      <c r="B75" s="27">
        <f t="shared" si="3"/>
        <v>59</v>
      </c>
      <c r="C75" s="447" t="s">
        <v>39</v>
      </c>
      <c r="D75" s="448">
        <v>30100364</v>
      </c>
      <c r="E75" s="449" t="s">
        <v>2125</v>
      </c>
      <c r="F75" s="450" t="s">
        <v>147</v>
      </c>
      <c r="G75" s="451" t="s">
        <v>2025</v>
      </c>
      <c r="H75" s="472" t="s">
        <v>2026</v>
      </c>
      <c r="I75" s="452" t="s">
        <v>57</v>
      </c>
      <c r="J75" s="453">
        <v>1102742</v>
      </c>
      <c r="K75" s="454">
        <v>763705</v>
      </c>
      <c r="L75" s="455">
        <v>0</v>
      </c>
      <c r="M75" s="456">
        <v>0</v>
      </c>
      <c r="N75" s="456">
        <v>70155</v>
      </c>
      <c r="O75" s="456">
        <v>162216</v>
      </c>
      <c r="P75" s="456"/>
      <c r="Q75" s="456"/>
      <c r="R75" s="456"/>
      <c r="S75" s="456"/>
      <c r="T75" s="456"/>
      <c r="U75" s="456"/>
      <c r="V75" s="456"/>
      <c r="W75" s="456"/>
      <c r="X75" s="456"/>
      <c r="Y75" s="456">
        <f t="shared" si="0"/>
        <v>232371</v>
      </c>
      <c r="Z75" s="457">
        <v>233736</v>
      </c>
      <c r="AA75" s="468" t="s">
        <v>144</v>
      </c>
      <c r="AB75" s="459">
        <v>44224</v>
      </c>
      <c r="AC75" s="464">
        <v>44251</v>
      </c>
      <c r="AD75" s="457"/>
      <c r="AE75" s="469"/>
      <c r="AF75" s="463"/>
      <c r="AG75" s="464"/>
      <c r="AH75" s="457"/>
      <c r="AI75" s="468"/>
      <c r="AJ75" s="463"/>
      <c r="AK75" s="464"/>
      <c r="AL75" s="457"/>
      <c r="AM75" s="468"/>
      <c r="AN75" s="463"/>
      <c r="AO75" s="464"/>
      <c r="AP75" s="457"/>
      <c r="AQ75" s="468"/>
      <c r="AR75" s="463"/>
      <c r="AS75" s="464"/>
      <c r="AT75" s="37">
        <f t="shared" si="1"/>
        <v>233736</v>
      </c>
      <c r="AU75" s="465">
        <f t="shared" si="2"/>
        <v>1365</v>
      </c>
      <c r="AV75" s="466"/>
    </row>
    <row r="76" spans="2:48" s="26" customFormat="1" x14ac:dyDescent="0.2">
      <c r="B76" s="27">
        <f t="shared" si="3"/>
        <v>60</v>
      </c>
      <c r="C76" s="447" t="s">
        <v>39</v>
      </c>
      <c r="D76" s="448">
        <v>30102680</v>
      </c>
      <c r="E76" s="449" t="s">
        <v>2126</v>
      </c>
      <c r="F76" s="450" t="s">
        <v>147</v>
      </c>
      <c r="G76" s="451" t="s">
        <v>2025</v>
      </c>
      <c r="H76" s="472" t="s">
        <v>2066</v>
      </c>
      <c r="I76" s="452" t="s">
        <v>72</v>
      </c>
      <c r="J76" s="453">
        <v>1124198</v>
      </c>
      <c r="K76" s="454">
        <v>0</v>
      </c>
      <c r="L76" s="455">
        <v>93194</v>
      </c>
      <c r="M76" s="456">
        <v>0</v>
      </c>
      <c r="N76" s="456">
        <v>0</v>
      </c>
      <c r="O76" s="456">
        <v>300041</v>
      </c>
      <c r="P76" s="456"/>
      <c r="Q76" s="456"/>
      <c r="R76" s="456"/>
      <c r="S76" s="456"/>
      <c r="T76" s="456"/>
      <c r="U76" s="456"/>
      <c r="V76" s="456"/>
      <c r="W76" s="456"/>
      <c r="X76" s="456"/>
      <c r="Y76" s="456">
        <f t="shared" si="0"/>
        <v>300041</v>
      </c>
      <c r="Z76" s="457">
        <v>1031004</v>
      </c>
      <c r="AA76" s="468" t="s">
        <v>144</v>
      </c>
      <c r="AB76" s="459">
        <v>44224</v>
      </c>
      <c r="AC76" s="464">
        <v>44251</v>
      </c>
      <c r="AD76" s="457"/>
      <c r="AE76" s="469"/>
      <c r="AF76" s="463"/>
      <c r="AG76" s="464"/>
      <c r="AH76" s="457"/>
      <c r="AI76" s="468"/>
      <c r="AJ76" s="463"/>
      <c r="AK76" s="464"/>
      <c r="AL76" s="457"/>
      <c r="AM76" s="468"/>
      <c r="AN76" s="463"/>
      <c r="AO76" s="464"/>
      <c r="AP76" s="457"/>
      <c r="AQ76" s="468"/>
      <c r="AR76" s="463"/>
      <c r="AS76" s="464"/>
      <c r="AT76" s="37">
        <f t="shared" si="1"/>
        <v>1031004</v>
      </c>
      <c r="AU76" s="465">
        <f t="shared" si="2"/>
        <v>730963</v>
      </c>
      <c r="AV76" s="466"/>
    </row>
    <row r="77" spans="2:48" s="26" customFormat="1" x14ac:dyDescent="0.2">
      <c r="B77" s="27">
        <f t="shared" si="3"/>
        <v>61</v>
      </c>
      <c r="C77" s="447" t="s">
        <v>39</v>
      </c>
      <c r="D77" s="448">
        <v>30103883</v>
      </c>
      <c r="E77" s="449" t="s">
        <v>2127</v>
      </c>
      <c r="F77" s="450" t="s">
        <v>147</v>
      </c>
      <c r="G77" s="451" t="s">
        <v>2025</v>
      </c>
      <c r="H77" s="472" t="s">
        <v>2097</v>
      </c>
      <c r="I77" s="452" t="s">
        <v>57</v>
      </c>
      <c r="J77" s="453">
        <v>4094343</v>
      </c>
      <c r="K77" s="471">
        <v>25466</v>
      </c>
      <c r="L77" s="455">
        <v>3788454</v>
      </c>
      <c r="M77" s="456">
        <v>0</v>
      </c>
      <c r="N77" s="456">
        <v>0</v>
      </c>
      <c r="O77" s="456">
        <v>0</v>
      </c>
      <c r="P77" s="456"/>
      <c r="Q77" s="456"/>
      <c r="R77" s="456"/>
      <c r="S77" s="456"/>
      <c r="T77" s="456"/>
      <c r="U77" s="456"/>
      <c r="V77" s="456"/>
      <c r="W77" s="456"/>
      <c r="X77" s="456"/>
      <c r="Y77" s="456">
        <f t="shared" si="0"/>
        <v>0</v>
      </c>
      <c r="Z77" s="457">
        <v>260002</v>
      </c>
      <c r="AA77" s="468" t="s">
        <v>2037</v>
      </c>
      <c r="AB77" s="459">
        <v>44222</v>
      </c>
      <c r="AC77" s="464">
        <v>44225</v>
      </c>
      <c r="AD77" s="457"/>
      <c r="AE77" s="469"/>
      <c r="AF77" s="463"/>
      <c r="AG77" s="464"/>
      <c r="AH77" s="457"/>
      <c r="AI77" s="468"/>
      <c r="AJ77" s="463"/>
      <c r="AK77" s="464"/>
      <c r="AL77" s="457"/>
      <c r="AM77" s="468"/>
      <c r="AN77" s="463"/>
      <c r="AO77" s="464"/>
      <c r="AP77" s="457"/>
      <c r="AQ77" s="468"/>
      <c r="AR77" s="463"/>
      <c r="AS77" s="464"/>
      <c r="AT77" s="37">
        <f t="shared" si="1"/>
        <v>260002</v>
      </c>
      <c r="AU77" s="465">
        <f t="shared" si="2"/>
        <v>260002</v>
      </c>
      <c r="AV77" s="466"/>
    </row>
    <row r="78" spans="2:48" s="26" customFormat="1" x14ac:dyDescent="0.2">
      <c r="B78" s="27">
        <f t="shared" si="3"/>
        <v>62</v>
      </c>
      <c r="C78" s="447" t="s">
        <v>39</v>
      </c>
      <c r="D78" s="448">
        <v>30103935</v>
      </c>
      <c r="E78" s="449" t="s">
        <v>2128</v>
      </c>
      <c r="F78" s="450" t="s">
        <v>193</v>
      </c>
      <c r="G78" s="451" t="s">
        <v>2025</v>
      </c>
      <c r="H78" s="472" t="s">
        <v>2066</v>
      </c>
      <c r="I78" s="452" t="s">
        <v>57</v>
      </c>
      <c r="J78" s="453">
        <v>39516</v>
      </c>
      <c r="K78" s="454">
        <v>30834</v>
      </c>
      <c r="L78" s="455">
        <v>0</v>
      </c>
      <c r="M78" s="456">
        <v>0</v>
      </c>
      <c r="N78" s="456">
        <v>0</v>
      </c>
      <c r="O78" s="456">
        <v>0</v>
      </c>
      <c r="P78" s="456"/>
      <c r="Q78" s="456"/>
      <c r="R78" s="456"/>
      <c r="S78" s="456"/>
      <c r="T78" s="456"/>
      <c r="U78" s="456"/>
      <c r="V78" s="456"/>
      <c r="W78" s="456"/>
      <c r="X78" s="456"/>
      <c r="Y78" s="456">
        <f t="shared" si="0"/>
        <v>0</v>
      </c>
      <c r="Z78" s="457">
        <v>8682</v>
      </c>
      <c r="AA78" s="468" t="s">
        <v>144</v>
      </c>
      <c r="AB78" s="459">
        <v>44224</v>
      </c>
      <c r="AC78" s="464">
        <v>44251</v>
      </c>
      <c r="AD78" s="457"/>
      <c r="AE78" s="469"/>
      <c r="AF78" s="463"/>
      <c r="AG78" s="464"/>
      <c r="AH78" s="457"/>
      <c r="AI78" s="468"/>
      <c r="AJ78" s="463"/>
      <c r="AK78" s="464"/>
      <c r="AL78" s="457"/>
      <c r="AM78" s="468"/>
      <c r="AN78" s="463"/>
      <c r="AO78" s="464"/>
      <c r="AP78" s="457"/>
      <c r="AQ78" s="468"/>
      <c r="AR78" s="463"/>
      <c r="AS78" s="464"/>
      <c r="AT78" s="37">
        <f t="shared" si="1"/>
        <v>8682</v>
      </c>
      <c r="AU78" s="465">
        <f t="shared" si="2"/>
        <v>8682</v>
      </c>
      <c r="AV78" s="466"/>
    </row>
    <row r="79" spans="2:48" s="26" customFormat="1" x14ac:dyDescent="0.2">
      <c r="B79" s="27">
        <f t="shared" si="3"/>
        <v>63</v>
      </c>
      <c r="C79" s="447" t="s">
        <v>43</v>
      </c>
      <c r="D79" s="448">
        <v>30104157</v>
      </c>
      <c r="E79" s="449" t="s">
        <v>2129</v>
      </c>
      <c r="F79" s="450" t="s">
        <v>147</v>
      </c>
      <c r="G79" s="451" t="s">
        <v>2025</v>
      </c>
      <c r="H79" s="472" t="s">
        <v>2066</v>
      </c>
      <c r="I79" s="452"/>
      <c r="J79" s="453">
        <v>469687</v>
      </c>
      <c r="K79" s="454">
        <v>19533</v>
      </c>
      <c r="L79" s="455">
        <v>394838</v>
      </c>
      <c r="M79" s="456"/>
      <c r="N79" s="456"/>
      <c r="O79" s="456"/>
      <c r="P79" s="456"/>
      <c r="Q79" s="456"/>
      <c r="R79" s="456"/>
      <c r="S79" s="456"/>
      <c r="T79" s="456"/>
      <c r="U79" s="456"/>
      <c r="V79" s="456"/>
      <c r="W79" s="456"/>
      <c r="X79" s="456"/>
      <c r="Y79" s="456">
        <f t="shared" si="0"/>
        <v>0</v>
      </c>
      <c r="Z79" s="457">
        <v>42818</v>
      </c>
      <c r="AA79" s="468">
        <v>11</v>
      </c>
      <c r="AB79" s="459">
        <v>44237</v>
      </c>
      <c r="AC79" s="464">
        <v>44251</v>
      </c>
      <c r="AD79" s="457"/>
      <c r="AE79" s="469"/>
      <c r="AF79" s="463"/>
      <c r="AG79" s="464"/>
      <c r="AH79" s="457"/>
      <c r="AI79" s="468"/>
      <c r="AJ79" s="463"/>
      <c r="AK79" s="464"/>
      <c r="AL79" s="457"/>
      <c r="AM79" s="468"/>
      <c r="AN79" s="463"/>
      <c r="AO79" s="464"/>
      <c r="AP79" s="457"/>
      <c r="AQ79" s="468"/>
      <c r="AR79" s="463"/>
      <c r="AS79" s="464"/>
      <c r="AT79" s="37">
        <f t="shared" si="1"/>
        <v>42818</v>
      </c>
      <c r="AU79" s="465">
        <f t="shared" si="2"/>
        <v>42818</v>
      </c>
      <c r="AV79" s="466"/>
    </row>
    <row r="80" spans="2:48" s="26" customFormat="1" x14ac:dyDescent="0.2">
      <c r="B80" s="27">
        <f t="shared" si="3"/>
        <v>64</v>
      </c>
      <c r="C80" s="447" t="s">
        <v>39</v>
      </c>
      <c r="D80" s="448">
        <v>30104202</v>
      </c>
      <c r="E80" s="449" t="s">
        <v>2130</v>
      </c>
      <c r="F80" s="450" t="s">
        <v>147</v>
      </c>
      <c r="G80" s="451" t="s">
        <v>2025</v>
      </c>
      <c r="H80" s="472" t="s">
        <v>2080</v>
      </c>
      <c r="I80" s="452" t="s">
        <v>57</v>
      </c>
      <c r="J80" s="453">
        <v>885222</v>
      </c>
      <c r="K80" s="454">
        <v>734011</v>
      </c>
      <c r="L80" s="455">
        <v>0</v>
      </c>
      <c r="M80" s="456">
        <v>0</v>
      </c>
      <c r="N80" s="456">
        <v>0</v>
      </c>
      <c r="O80" s="456">
        <v>0</v>
      </c>
      <c r="P80" s="456"/>
      <c r="Q80" s="456"/>
      <c r="R80" s="456"/>
      <c r="S80" s="456"/>
      <c r="T80" s="456"/>
      <c r="U80" s="456"/>
      <c r="V80" s="456"/>
      <c r="W80" s="456"/>
      <c r="X80" s="456"/>
      <c r="Y80" s="456">
        <f t="shared" si="0"/>
        <v>0</v>
      </c>
      <c r="Z80" s="457">
        <v>151211</v>
      </c>
      <c r="AA80" s="468" t="s">
        <v>144</v>
      </c>
      <c r="AB80" s="459">
        <v>44224</v>
      </c>
      <c r="AC80" s="464">
        <v>44251</v>
      </c>
      <c r="AD80" s="457"/>
      <c r="AE80" s="469"/>
      <c r="AF80" s="463"/>
      <c r="AG80" s="464"/>
      <c r="AH80" s="457"/>
      <c r="AI80" s="468"/>
      <c r="AJ80" s="463"/>
      <c r="AK80" s="464"/>
      <c r="AL80" s="457"/>
      <c r="AM80" s="468"/>
      <c r="AN80" s="463"/>
      <c r="AO80" s="464"/>
      <c r="AP80" s="457"/>
      <c r="AQ80" s="468"/>
      <c r="AR80" s="463"/>
      <c r="AS80" s="464"/>
      <c r="AT80" s="37">
        <f t="shared" si="1"/>
        <v>151211</v>
      </c>
      <c r="AU80" s="465">
        <f t="shared" si="2"/>
        <v>151211</v>
      </c>
      <c r="AV80" s="466"/>
    </row>
    <row r="81" spans="2:48" s="26" customFormat="1" x14ac:dyDescent="0.2">
      <c r="B81" s="27">
        <f t="shared" si="3"/>
        <v>65</v>
      </c>
      <c r="C81" s="447" t="s">
        <v>39</v>
      </c>
      <c r="D81" s="448">
        <v>30104260</v>
      </c>
      <c r="E81" s="449" t="s">
        <v>2131</v>
      </c>
      <c r="F81" s="450" t="s">
        <v>147</v>
      </c>
      <c r="G81" s="451" t="s">
        <v>2025</v>
      </c>
      <c r="H81" s="472" t="s">
        <v>2097</v>
      </c>
      <c r="I81" s="452" t="s">
        <v>57</v>
      </c>
      <c r="J81" s="471">
        <v>782416</v>
      </c>
      <c r="K81" s="453">
        <v>407969</v>
      </c>
      <c r="L81" s="456">
        <v>0</v>
      </c>
      <c r="M81" s="456">
        <v>0</v>
      </c>
      <c r="N81" s="456">
        <v>24611</v>
      </c>
      <c r="O81" s="456">
        <v>21458</v>
      </c>
      <c r="P81" s="456"/>
      <c r="Q81" s="456"/>
      <c r="R81" s="456"/>
      <c r="S81" s="456"/>
      <c r="T81" s="456"/>
      <c r="U81" s="456"/>
      <c r="V81" s="456"/>
      <c r="W81" s="456"/>
      <c r="X81" s="456"/>
      <c r="Y81" s="456">
        <f t="shared" si="0"/>
        <v>46069</v>
      </c>
      <c r="Z81" s="457">
        <v>374447</v>
      </c>
      <c r="AA81" s="468" t="s">
        <v>2060</v>
      </c>
      <c r="AB81" s="459">
        <v>44237</v>
      </c>
      <c r="AC81" s="464">
        <v>44251</v>
      </c>
      <c r="AD81" s="457"/>
      <c r="AE81" s="469"/>
      <c r="AF81" s="463"/>
      <c r="AG81" s="464"/>
      <c r="AH81" s="457"/>
      <c r="AI81" s="468"/>
      <c r="AJ81" s="463"/>
      <c r="AK81" s="464"/>
      <c r="AL81" s="457"/>
      <c r="AM81" s="468"/>
      <c r="AN81" s="463"/>
      <c r="AO81" s="464"/>
      <c r="AP81" s="457"/>
      <c r="AQ81" s="468"/>
      <c r="AR81" s="463"/>
      <c r="AS81" s="464"/>
      <c r="AT81" s="37">
        <f t="shared" si="1"/>
        <v>374447</v>
      </c>
      <c r="AU81" s="465">
        <f t="shared" si="2"/>
        <v>328378</v>
      </c>
      <c r="AV81" s="466"/>
    </row>
    <row r="82" spans="2:48" s="26" customFormat="1" x14ac:dyDescent="0.2">
      <c r="B82" s="27">
        <f t="shared" si="3"/>
        <v>66</v>
      </c>
      <c r="C82" s="447" t="s">
        <v>39</v>
      </c>
      <c r="D82" s="448">
        <v>30104313</v>
      </c>
      <c r="E82" s="449" t="s">
        <v>2132</v>
      </c>
      <c r="F82" s="450" t="s">
        <v>147</v>
      </c>
      <c r="G82" s="451" t="s">
        <v>2025</v>
      </c>
      <c r="H82" s="472" t="s">
        <v>2106</v>
      </c>
      <c r="I82" s="452" t="s">
        <v>57</v>
      </c>
      <c r="J82" s="454">
        <v>2037656</v>
      </c>
      <c r="K82" s="453">
        <v>2009573</v>
      </c>
      <c r="L82" s="456">
        <v>1174</v>
      </c>
      <c r="M82" s="456">
        <v>0</v>
      </c>
      <c r="N82" s="456">
        <v>0</v>
      </c>
      <c r="O82" s="456">
        <v>0</v>
      </c>
      <c r="P82" s="456"/>
      <c r="Q82" s="456"/>
      <c r="R82" s="456"/>
      <c r="S82" s="456"/>
      <c r="T82" s="456"/>
      <c r="U82" s="456"/>
      <c r="V82" s="456"/>
      <c r="W82" s="456"/>
      <c r="X82" s="456"/>
      <c r="Y82" s="456">
        <f t="shared" si="0"/>
        <v>0</v>
      </c>
      <c r="Z82" s="457">
        <v>26908</v>
      </c>
      <c r="AA82" s="468" t="s">
        <v>2060</v>
      </c>
      <c r="AB82" s="459">
        <v>44237</v>
      </c>
      <c r="AC82" s="464">
        <v>44251</v>
      </c>
      <c r="AD82" s="457"/>
      <c r="AE82" s="469"/>
      <c r="AF82" s="463"/>
      <c r="AG82" s="464"/>
      <c r="AH82" s="457"/>
      <c r="AI82" s="468"/>
      <c r="AJ82" s="463"/>
      <c r="AK82" s="464"/>
      <c r="AL82" s="457"/>
      <c r="AM82" s="468"/>
      <c r="AN82" s="463"/>
      <c r="AO82" s="464"/>
      <c r="AP82" s="457"/>
      <c r="AQ82" s="468"/>
      <c r="AR82" s="463"/>
      <c r="AS82" s="464"/>
      <c r="AT82" s="37">
        <f t="shared" ref="AT82:AT145" si="4">(Z82+AD82+AH82+AL82+AP82)</f>
        <v>26908</v>
      </c>
      <c r="AU82" s="465">
        <f t="shared" ref="AU82:AU145" si="5">AT82-Y82</f>
        <v>26908</v>
      </c>
      <c r="AV82" s="466"/>
    </row>
    <row r="83" spans="2:48" s="26" customFormat="1" x14ac:dyDescent="0.2">
      <c r="B83" s="27">
        <f t="shared" si="3"/>
        <v>67</v>
      </c>
      <c r="C83" s="447" t="s">
        <v>39</v>
      </c>
      <c r="D83" s="448">
        <v>30104322</v>
      </c>
      <c r="E83" s="449" t="s">
        <v>2133</v>
      </c>
      <c r="F83" s="450" t="s">
        <v>147</v>
      </c>
      <c r="G83" s="451" t="s">
        <v>2025</v>
      </c>
      <c r="H83" s="472" t="s">
        <v>2134</v>
      </c>
      <c r="I83" s="452" t="s">
        <v>57</v>
      </c>
      <c r="J83" s="454">
        <v>759578</v>
      </c>
      <c r="K83" s="453">
        <v>96461</v>
      </c>
      <c r="L83" s="456">
        <v>0</v>
      </c>
      <c r="M83" s="456">
        <v>0</v>
      </c>
      <c r="N83" s="456">
        <v>0</v>
      </c>
      <c r="O83" s="456">
        <v>234</v>
      </c>
      <c r="P83" s="456"/>
      <c r="Q83" s="456"/>
      <c r="R83" s="456"/>
      <c r="S83" s="456"/>
      <c r="T83" s="456"/>
      <c r="U83" s="456"/>
      <c r="V83" s="456"/>
      <c r="W83" s="456"/>
      <c r="X83" s="456"/>
      <c r="Y83" s="456">
        <f t="shared" ref="Y83:Y146" si="6">SUM(M83:X83)</f>
        <v>234</v>
      </c>
      <c r="Z83" s="457">
        <v>339038</v>
      </c>
      <c r="AA83" s="468" t="s">
        <v>2060</v>
      </c>
      <c r="AB83" s="459">
        <v>44237</v>
      </c>
      <c r="AC83" s="464">
        <v>44251</v>
      </c>
      <c r="AD83" s="457"/>
      <c r="AE83" s="469"/>
      <c r="AF83" s="463"/>
      <c r="AG83" s="464"/>
      <c r="AH83" s="457"/>
      <c r="AI83" s="468"/>
      <c r="AJ83" s="463"/>
      <c r="AK83" s="464"/>
      <c r="AL83" s="457"/>
      <c r="AM83" s="468"/>
      <c r="AN83" s="463"/>
      <c r="AO83" s="464"/>
      <c r="AP83" s="457"/>
      <c r="AQ83" s="468"/>
      <c r="AR83" s="463"/>
      <c r="AS83" s="464"/>
      <c r="AT83" s="37">
        <f t="shared" si="4"/>
        <v>339038</v>
      </c>
      <c r="AU83" s="465">
        <f t="shared" si="5"/>
        <v>338804</v>
      </c>
      <c r="AV83" s="466"/>
    </row>
    <row r="84" spans="2:48" s="26" customFormat="1" x14ac:dyDescent="0.2">
      <c r="B84" s="27">
        <f t="shared" ref="B84:B147" si="7">+B83+1</f>
        <v>68</v>
      </c>
      <c r="C84" s="447" t="s">
        <v>39</v>
      </c>
      <c r="D84" s="448">
        <v>30104336</v>
      </c>
      <c r="E84" s="449" t="s">
        <v>2135</v>
      </c>
      <c r="F84" s="450" t="s">
        <v>147</v>
      </c>
      <c r="G84" s="451" t="s">
        <v>2025</v>
      </c>
      <c r="H84" s="472" t="s">
        <v>2074</v>
      </c>
      <c r="I84" s="452" t="s">
        <v>57</v>
      </c>
      <c r="J84" s="454">
        <v>620781</v>
      </c>
      <c r="K84" s="453">
        <v>614549</v>
      </c>
      <c r="L84" s="456">
        <v>0</v>
      </c>
      <c r="M84" s="456">
        <v>0</v>
      </c>
      <c r="N84" s="456">
        <v>0</v>
      </c>
      <c r="O84" s="456">
        <v>0</v>
      </c>
      <c r="P84" s="456"/>
      <c r="Q84" s="456"/>
      <c r="R84" s="456"/>
      <c r="S84" s="456"/>
      <c r="T84" s="456"/>
      <c r="U84" s="456"/>
      <c r="V84" s="456"/>
      <c r="W84" s="456"/>
      <c r="X84" s="456"/>
      <c r="Y84" s="456">
        <f t="shared" si="6"/>
        <v>0</v>
      </c>
      <c r="Z84" s="457">
        <v>6232</v>
      </c>
      <c r="AA84" s="468" t="s">
        <v>2060</v>
      </c>
      <c r="AB84" s="459">
        <v>44237</v>
      </c>
      <c r="AC84" s="464">
        <v>44251</v>
      </c>
      <c r="AD84" s="457"/>
      <c r="AE84" s="469"/>
      <c r="AF84" s="463"/>
      <c r="AG84" s="464"/>
      <c r="AH84" s="457"/>
      <c r="AI84" s="468"/>
      <c r="AJ84" s="463"/>
      <c r="AK84" s="464"/>
      <c r="AL84" s="457"/>
      <c r="AM84" s="468"/>
      <c r="AN84" s="463"/>
      <c r="AO84" s="464"/>
      <c r="AP84" s="457"/>
      <c r="AQ84" s="468"/>
      <c r="AR84" s="463"/>
      <c r="AS84" s="464"/>
      <c r="AT84" s="37">
        <f t="shared" si="4"/>
        <v>6232</v>
      </c>
      <c r="AU84" s="465">
        <f t="shared" si="5"/>
        <v>6232</v>
      </c>
      <c r="AV84" s="466"/>
    </row>
    <row r="85" spans="2:48" s="26" customFormat="1" x14ac:dyDescent="0.2">
      <c r="B85" s="27">
        <f t="shared" si="7"/>
        <v>69</v>
      </c>
      <c r="C85" s="447" t="s">
        <v>39</v>
      </c>
      <c r="D85" s="448">
        <v>30104345</v>
      </c>
      <c r="E85" s="449" t="s">
        <v>2136</v>
      </c>
      <c r="F85" s="450" t="s">
        <v>147</v>
      </c>
      <c r="G85" s="451" t="s">
        <v>2025</v>
      </c>
      <c r="H85" s="472" t="s">
        <v>2057</v>
      </c>
      <c r="I85" s="452" t="s">
        <v>72</v>
      </c>
      <c r="J85" s="453">
        <v>789521</v>
      </c>
      <c r="K85" s="454">
        <v>0</v>
      </c>
      <c r="L85" s="455">
        <v>2</v>
      </c>
      <c r="M85" s="456">
        <v>0</v>
      </c>
      <c r="N85" s="456">
        <v>0</v>
      </c>
      <c r="O85" s="456">
        <v>0</v>
      </c>
      <c r="P85" s="456"/>
      <c r="Q85" s="456"/>
      <c r="R85" s="456"/>
      <c r="S85" s="456"/>
      <c r="T85" s="456"/>
      <c r="U85" s="456"/>
      <c r="V85" s="456"/>
      <c r="W85" s="456"/>
      <c r="X85" s="456"/>
      <c r="Y85" s="456">
        <f t="shared" si="6"/>
        <v>0</v>
      </c>
      <c r="Z85" s="457">
        <v>827635</v>
      </c>
      <c r="AA85" s="468" t="s">
        <v>144</v>
      </c>
      <c r="AB85" s="459">
        <v>44224</v>
      </c>
      <c r="AC85" s="464">
        <v>44251</v>
      </c>
      <c r="AD85" s="457"/>
      <c r="AE85" s="469"/>
      <c r="AF85" s="463"/>
      <c r="AG85" s="464"/>
      <c r="AH85" s="457"/>
      <c r="AI85" s="468"/>
      <c r="AJ85" s="463"/>
      <c r="AK85" s="464"/>
      <c r="AL85" s="457"/>
      <c r="AM85" s="468"/>
      <c r="AN85" s="463"/>
      <c r="AO85" s="464"/>
      <c r="AP85" s="457"/>
      <c r="AQ85" s="468"/>
      <c r="AR85" s="463"/>
      <c r="AS85" s="464"/>
      <c r="AT85" s="37">
        <f t="shared" si="4"/>
        <v>827635</v>
      </c>
      <c r="AU85" s="465">
        <f t="shared" si="5"/>
        <v>827635</v>
      </c>
      <c r="AV85" s="466"/>
    </row>
    <row r="86" spans="2:48" s="26" customFormat="1" x14ac:dyDescent="0.2">
      <c r="B86" s="27">
        <f t="shared" si="7"/>
        <v>70</v>
      </c>
      <c r="C86" s="447" t="s">
        <v>39</v>
      </c>
      <c r="D86" s="448">
        <v>30105840</v>
      </c>
      <c r="E86" s="449" t="s">
        <v>2137</v>
      </c>
      <c r="F86" s="450" t="s">
        <v>193</v>
      </c>
      <c r="G86" s="451" t="s">
        <v>2025</v>
      </c>
      <c r="H86" s="472" t="s">
        <v>2138</v>
      </c>
      <c r="I86" s="452" t="s">
        <v>72</v>
      </c>
      <c r="J86" s="453">
        <v>87413</v>
      </c>
      <c r="K86" s="471">
        <v>0</v>
      </c>
      <c r="L86" s="455">
        <v>74136</v>
      </c>
      <c r="M86" s="456">
        <v>0</v>
      </c>
      <c r="N86" s="456">
        <v>0</v>
      </c>
      <c r="O86" s="456">
        <v>0</v>
      </c>
      <c r="P86" s="456"/>
      <c r="Q86" s="456"/>
      <c r="R86" s="456"/>
      <c r="S86" s="456"/>
      <c r="T86" s="456"/>
      <c r="U86" s="456"/>
      <c r="V86" s="456"/>
      <c r="W86" s="456"/>
      <c r="X86" s="456"/>
      <c r="Y86" s="456">
        <f t="shared" si="6"/>
        <v>0</v>
      </c>
      <c r="Z86" s="457">
        <v>10000</v>
      </c>
      <c r="AA86" s="468" t="s">
        <v>2037</v>
      </c>
      <c r="AB86" s="459">
        <v>44222</v>
      </c>
      <c r="AC86" s="464">
        <v>44225</v>
      </c>
      <c r="AD86" s="457"/>
      <c r="AE86" s="469"/>
      <c r="AF86" s="463"/>
      <c r="AG86" s="464"/>
      <c r="AH86" s="457"/>
      <c r="AI86" s="468"/>
      <c r="AJ86" s="463"/>
      <c r="AK86" s="464"/>
      <c r="AL86" s="457"/>
      <c r="AM86" s="468"/>
      <c r="AN86" s="463"/>
      <c r="AO86" s="464"/>
      <c r="AP86" s="457"/>
      <c r="AQ86" s="468"/>
      <c r="AR86" s="463"/>
      <c r="AS86" s="464"/>
      <c r="AT86" s="37">
        <f t="shared" si="4"/>
        <v>10000</v>
      </c>
      <c r="AU86" s="465">
        <f t="shared" si="5"/>
        <v>10000</v>
      </c>
      <c r="AV86" s="466"/>
    </row>
    <row r="87" spans="2:48" s="26" customFormat="1" x14ac:dyDescent="0.2">
      <c r="B87" s="27">
        <f t="shared" si="7"/>
        <v>71</v>
      </c>
      <c r="C87" s="447" t="s">
        <v>39</v>
      </c>
      <c r="D87" s="448">
        <v>30120122</v>
      </c>
      <c r="E87" s="449" t="s">
        <v>2139</v>
      </c>
      <c r="F87" s="450" t="s">
        <v>193</v>
      </c>
      <c r="G87" s="451" t="s">
        <v>2025</v>
      </c>
      <c r="H87" s="472" t="s">
        <v>2028</v>
      </c>
      <c r="I87" s="452" t="s">
        <v>72</v>
      </c>
      <c r="J87" s="453">
        <v>354951</v>
      </c>
      <c r="K87" s="471">
        <v>4160</v>
      </c>
      <c r="L87" s="455">
        <v>280791</v>
      </c>
      <c r="M87" s="456">
        <v>0</v>
      </c>
      <c r="N87" s="456">
        <v>0</v>
      </c>
      <c r="O87" s="456">
        <v>6120</v>
      </c>
      <c r="P87" s="456"/>
      <c r="Q87" s="456"/>
      <c r="R87" s="456"/>
      <c r="S87" s="456"/>
      <c r="T87" s="456"/>
      <c r="U87" s="456"/>
      <c r="V87" s="456"/>
      <c r="W87" s="456"/>
      <c r="X87" s="456"/>
      <c r="Y87" s="456">
        <f t="shared" si="6"/>
        <v>6120</v>
      </c>
      <c r="Z87" s="457">
        <v>70000</v>
      </c>
      <c r="AA87" s="468" t="s">
        <v>2037</v>
      </c>
      <c r="AB87" s="459">
        <v>44222</v>
      </c>
      <c r="AC87" s="464">
        <v>44225</v>
      </c>
      <c r="AD87" s="457"/>
      <c r="AE87" s="469"/>
      <c r="AF87" s="463"/>
      <c r="AG87" s="464"/>
      <c r="AH87" s="457"/>
      <c r="AI87" s="468"/>
      <c r="AJ87" s="463"/>
      <c r="AK87" s="464"/>
      <c r="AL87" s="457"/>
      <c r="AM87" s="468"/>
      <c r="AN87" s="463"/>
      <c r="AO87" s="464"/>
      <c r="AP87" s="457"/>
      <c r="AQ87" s="468"/>
      <c r="AR87" s="463"/>
      <c r="AS87" s="464"/>
      <c r="AT87" s="37">
        <f t="shared" si="4"/>
        <v>70000</v>
      </c>
      <c r="AU87" s="465">
        <f t="shared" si="5"/>
        <v>63880</v>
      </c>
      <c r="AV87" s="466"/>
    </row>
    <row r="88" spans="2:48" s="26" customFormat="1" x14ac:dyDescent="0.2">
      <c r="B88" s="27">
        <f t="shared" si="7"/>
        <v>72</v>
      </c>
      <c r="C88" s="447" t="s">
        <v>39</v>
      </c>
      <c r="D88" s="448">
        <v>30121360</v>
      </c>
      <c r="E88" s="449" t="s">
        <v>2140</v>
      </c>
      <c r="F88" s="450" t="s">
        <v>147</v>
      </c>
      <c r="G88" s="451" t="s">
        <v>2025</v>
      </c>
      <c r="H88" s="472" t="s">
        <v>2097</v>
      </c>
      <c r="I88" s="452" t="s">
        <v>57</v>
      </c>
      <c r="J88" s="454">
        <v>2004064</v>
      </c>
      <c r="K88" s="453">
        <v>967553</v>
      </c>
      <c r="L88" s="456">
        <v>0</v>
      </c>
      <c r="M88" s="456">
        <v>0</v>
      </c>
      <c r="N88" s="456">
        <v>1467</v>
      </c>
      <c r="O88" s="456">
        <v>19707</v>
      </c>
      <c r="P88" s="456"/>
      <c r="Q88" s="456"/>
      <c r="R88" s="456"/>
      <c r="S88" s="456"/>
      <c r="T88" s="456"/>
      <c r="U88" s="456"/>
      <c r="V88" s="456"/>
      <c r="W88" s="456"/>
      <c r="X88" s="456"/>
      <c r="Y88" s="456">
        <f t="shared" si="6"/>
        <v>21174</v>
      </c>
      <c r="Z88" s="457">
        <v>702934</v>
      </c>
      <c r="AA88" s="468" t="s">
        <v>2060</v>
      </c>
      <c r="AB88" s="459">
        <v>44237</v>
      </c>
      <c r="AC88" s="464">
        <v>44251</v>
      </c>
      <c r="AD88" s="457"/>
      <c r="AE88" s="469"/>
      <c r="AF88" s="463"/>
      <c r="AG88" s="464"/>
      <c r="AH88" s="457"/>
      <c r="AI88" s="468"/>
      <c r="AJ88" s="463"/>
      <c r="AK88" s="464"/>
      <c r="AL88" s="457"/>
      <c r="AM88" s="468"/>
      <c r="AN88" s="463"/>
      <c r="AO88" s="464"/>
      <c r="AP88" s="457"/>
      <c r="AQ88" s="468"/>
      <c r="AR88" s="463"/>
      <c r="AS88" s="464"/>
      <c r="AT88" s="37">
        <f t="shared" si="4"/>
        <v>702934</v>
      </c>
      <c r="AU88" s="465">
        <f t="shared" si="5"/>
        <v>681760</v>
      </c>
      <c r="AV88" s="466"/>
    </row>
    <row r="89" spans="2:48" s="26" customFormat="1" x14ac:dyDescent="0.2">
      <c r="B89" s="27">
        <f t="shared" si="7"/>
        <v>73</v>
      </c>
      <c r="C89" s="447" t="s">
        <v>39</v>
      </c>
      <c r="D89" s="448">
        <v>30121363</v>
      </c>
      <c r="E89" s="449" t="s">
        <v>2141</v>
      </c>
      <c r="F89" s="450" t="s">
        <v>147</v>
      </c>
      <c r="G89" s="451" t="s">
        <v>2025</v>
      </c>
      <c r="H89" s="472" t="s">
        <v>2062</v>
      </c>
      <c r="I89" s="452" t="s">
        <v>57</v>
      </c>
      <c r="J89" s="454">
        <v>28491391</v>
      </c>
      <c r="K89" s="453">
        <v>19814357</v>
      </c>
      <c r="L89" s="456">
        <v>0</v>
      </c>
      <c r="M89" s="456">
        <v>0</v>
      </c>
      <c r="N89" s="456">
        <v>894752</v>
      </c>
      <c r="O89" s="456">
        <v>963506</v>
      </c>
      <c r="P89" s="456"/>
      <c r="Q89" s="456"/>
      <c r="R89" s="456"/>
      <c r="S89" s="456"/>
      <c r="T89" s="456"/>
      <c r="U89" s="456"/>
      <c r="V89" s="456"/>
      <c r="W89" s="456"/>
      <c r="X89" s="456"/>
      <c r="Y89" s="456">
        <f t="shared" si="6"/>
        <v>1858258</v>
      </c>
      <c r="Z89" s="457">
        <v>5200000</v>
      </c>
      <c r="AA89" s="468" t="s">
        <v>2060</v>
      </c>
      <c r="AB89" s="459">
        <v>44237</v>
      </c>
      <c r="AC89" s="464">
        <v>44251</v>
      </c>
      <c r="AD89" s="457"/>
      <c r="AE89" s="469"/>
      <c r="AF89" s="463"/>
      <c r="AG89" s="464"/>
      <c r="AH89" s="457"/>
      <c r="AI89" s="468"/>
      <c r="AJ89" s="463"/>
      <c r="AK89" s="464"/>
      <c r="AL89" s="457"/>
      <c r="AM89" s="468"/>
      <c r="AN89" s="463"/>
      <c r="AO89" s="464"/>
      <c r="AP89" s="457"/>
      <c r="AQ89" s="468"/>
      <c r="AR89" s="463"/>
      <c r="AS89" s="464"/>
      <c r="AT89" s="37">
        <f t="shared" si="4"/>
        <v>5200000</v>
      </c>
      <c r="AU89" s="465">
        <f t="shared" si="5"/>
        <v>3341742</v>
      </c>
      <c r="AV89" s="466"/>
    </row>
    <row r="90" spans="2:48" s="26" customFormat="1" x14ac:dyDescent="0.2">
      <c r="B90" s="27">
        <f t="shared" si="7"/>
        <v>74</v>
      </c>
      <c r="C90" s="447" t="s">
        <v>39</v>
      </c>
      <c r="D90" s="448">
        <v>30121509</v>
      </c>
      <c r="E90" s="449" t="s">
        <v>2142</v>
      </c>
      <c r="F90" s="450" t="s">
        <v>147</v>
      </c>
      <c r="G90" s="451" t="s">
        <v>2025</v>
      </c>
      <c r="H90" s="472" t="s">
        <v>2062</v>
      </c>
      <c r="I90" s="452" t="s">
        <v>72</v>
      </c>
      <c r="J90" s="453">
        <v>8503680</v>
      </c>
      <c r="K90" s="471">
        <v>0</v>
      </c>
      <c r="L90" s="455">
        <v>8485979</v>
      </c>
      <c r="M90" s="456">
        <v>0</v>
      </c>
      <c r="N90" s="456">
        <v>0</v>
      </c>
      <c r="O90" s="456">
        <v>0</v>
      </c>
      <c r="P90" s="456"/>
      <c r="Q90" s="456"/>
      <c r="R90" s="456"/>
      <c r="S90" s="456"/>
      <c r="T90" s="456"/>
      <c r="U90" s="456"/>
      <c r="V90" s="456"/>
      <c r="W90" s="456"/>
      <c r="X90" s="456"/>
      <c r="Y90" s="456">
        <f t="shared" si="6"/>
        <v>0</v>
      </c>
      <c r="Z90" s="457">
        <v>10002</v>
      </c>
      <c r="AA90" s="468" t="s">
        <v>2037</v>
      </c>
      <c r="AB90" s="459">
        <v>44222</v>
      </c>
      <c r="AC90" s="464">
        <v>44225</v>
      </c>
      <c r="AD90" s="457"/>
      <c r="AE90" s="469"/>
      <c r="AF90" s="463"/>
      <c r="AG90" s="464"/>
      <c r="AH90" s="457"/>
      <c r="AI90" s="468"/>
      <c r="AJ90" s="463"/>
      <c r="AK90" s="464"/>
      <c r="AL90" s="457"/>
      <c r="AM90" s="468"/>
      <c r="AN90" s="463"/>
      <c r="AO90" s="464"/>
      <c r="AP90" s="457"/>
      <c r="AQ90" s="468"/>
      <c r="AR90" s="463"/>
      <c r="AS90" s="464"/>
      <c r="AT90" s="37">
        <f t="shared" si="4"/>
        <v>10002</v>
      </c>
      <c r="AU90" s="465">
        <f t="shared" si="5"/>
        <v>10002</v>
      </c>
      <c r="AV90" s="466"/>
    </row>
    <row r="91" spans="2:48" s="26" customFormat="1" x14ac:dyDescent="0.2">
      <c r="B91" s="27">
        <f t="shared" si="7"/>
        <v>75</v>
      </c>
      <c r="C91" s="447" t="s">
        <v>39</v>
      </c>
      <c r="D91" s="448">
        <v>30124436</v>
      </c>
      <c r="E91" s="449" t="s">
        <v>2143</v>
      </c>
      <c r="F91" s="450" t="s">
        <v>147</v>
      </c>
      <c r="G91" s="451" t="s">
        <v>2025</v>
      </c>
      <c r="H91" s="472" t="s">
        <v>2123</v>
      </c>
      <c r="I91" s="452" t="s">
        <v>57</v>
      </c>
      <c r="J91" s="453">
        <v>2542865</v>
      </c>
      <c r="K91" s="454">
        <v>2241225</v>
      </c>
      <c r="L91" s="455">
        <v>0</v>
      </c>
      <c r="M91" s="456">
        <v>0</v>
      </c>
      <c r="N91" s="456">
        <v>95072</v>
      </c>
      <c r="O91" s="456">
        <v>44009</v>
      </c>
      <c r="P91" s="456"/>
      <c r="Q91" s="456"/>
      <c r="R91" s="456"/>
      <c r="S91" s="456"/>
      <c r="T91" s="456"/>
      <c r="U91" s="456"/>
      <c r="V91" s="456"/>
      <c r="W91" s="456"/>
      <c r="X91" s="456"/>
      <c r="Y91" s="456">
        <f t="shared" si="6"/>
        <v>139081</v>
      </c>
      <c r="Z91" s="457">
        <v>301640</v>
      </c>
      <c r="AA91" s="468" t="s">
        <v>144</v>
      </c>
      <c r="AB91" s="459">
        <v>44224</v>
      </c>
      <c r="AC91" s="464">
        <v>44251</v>
      </c>
      <c r="AD91" s="457"/>
      <c r="AE91" s="469"/>
      <c r="AF91" s="463"/>
      <c r="AG91" s="464"/>
      <c r="AH91" s="457"/>
      <c r="AI91" s="468"/>
      <c r="AJ91" s="463"/>
      <c r="AK91" s="464"/>
      <c r="AL91" s="457"/>
      <c r="AM91" s="468"/>
      <c r="AN91" s="463"/>
      <c r="AO91" s="464"/>
      <c r="AP91" s="457"/>
      <c r="AQ91" s="468"/>
      <c r="AR91" s="463"/>
      <c r="AS91" s="464"/>
      <c r="AT91" s="37">
        <f t="shared" si="4"/>
        <v>301640</v>
      </c>
      <c r="AU91" s="465">
        <f t="shared" si="5"/>
        <v>162559</v>
      </c>
      <c r="AV91" s="466"/>
    </row>
    <row r="92" spans="2:48" s="26" customFormat="1" x14ac:dyDescent="0.2">
      <c r="B92" s="27">
        <f t="shared" si="7"/>
        <v>76</v>
      </c>
      <c r="C92" s="447" t="s">
        <v>39</v>
      </c>
      <c r="D92" s="448">
        <v>30126057</v>
      </c>
      <c r="E92" s="449" t="s">
        <v>2144</v>
      </c>
      <c r="F92" s="450" t="s">
        <v>147</v>
      </c>
      <c r="G92" s="451" t="s">
        <v>2025</v>
      </c>
      <c r="H92" s="472" t="s">
        <v>2051</v>
      </c>
      <c r="I92" s="452" t="s">
        <v>57</v>
      </c>
      <c r="J92" s="454">
        <v>798504</v>
      </c>
      <c r="K92" s="453">
        <v>279609</v>
      </c>
      <c r="L92" s="456">
        <v>0</v>
      </c>
      <c r="M92" s="456">
        <v>0</v>
      </c>
      <c r="N92" s="456">
        <v>66950</v>
      </c>
      <c r="O92" s="456">
        <v>1932</v>
      </c>
      <c r="P92" s="456"/>
      <c r="Q92" s="456"/>
      <c r="R92" s="456"/>
      <c r="S92" s="456"/>
      <c r="T92" s="456"/>
      <c r="U92" s="456"/>
      <c r="V92" s="456"/>
      <c r="W92" s="456"/>
      <c r="X92" s="456"/>
      <c r="Y92" s="456">
        <f t="shared" si="6"/>
        <v>68882</v>
      </c>
      <c r="Z92" s="457">
        <v>518571</v>
      </c>
      <c r="AA92" s="468" t="s">
        <v>2060</v>
      </c>
      <c r="AB92" s="459">
        <v>44237</v>
      </c>
      <c r="AC92" s="464">
        <v>44251</v>
      </c>
      <c r="AD92" s="457"/>
      <c r="AE92" s="469"/>
      <c r="AF92" s="463"/>
      <c r="AG92" s="464"/>
      <c r="AH92" s="457"/>
      <c r="AI92" s="468"/>
      <c r="AJ92" s="463"/>
      <c r="AK92" s="464"/>
      <c r="AL92" s="457"/>
      <c r="AM92" s="468"/>
      <c r="AN92" s="463"/>
      <c r="AO92" s="464"/>
      <c r="AP92" s="457"/>
      <c r="AQ92" s="468"/>
      <c r="AR92" s="463"/>
      <c r="AS92" s="464"/>
      <c r="AT92" s="37">
        <f t="shared" si="4"/>
        <v>518571</v>
      </c>
      <c r="AU92" s="465">
        <f t="shared" si="5"/>
        <v>449689</v>
      </c>
      <c r="AV92" s="466"/>
    </row>
    <row r="93" spans="2:48" s="26" customFormat="1" x14ac:dyDescent="0.2">
      <c r="B93" s="27">
        <f t="shared" si="7"/>
        <v>77</v>
      </c>
      <c r="C93" s="447" t="s">
        <v>39</v>
      </c>
      <c r="D93" s="448">
        <v>30126622</v>
      </c>
      <c r="E93" s="449" t="s">
        <v>2145</v>
      </c>
      <c r="F93" s="450" t="s">
        <v>147</v>
      </c>
      <c r="G93" s="451" t="s">
        <v>2025</v>
      </c>
      <c r="H93" s="472" t="s">
        <v>2086</v>
      </c>
      <c r="I93" s="452" t="s">
        <v>57</v>
      </c>
      <c r="J93" s="453">
        <v>7105567</v>
      </c>
      <c r="K93" s="467">
        <v>8666</v>
      </c>
      <c r="L93" s="456">
        <v>5076900</v>
      </c>
      <c r="M93" s="456">
        <v>0</v>
      </c>
      <c r="N93" s="456">
        <v>0</v>
      </c>
      <c r="O93" s="456">
        <v>117664</v>
      </c>
      <c r="P93" s="456"/>
      <c r="Q93" s="456"/>
      <c r="R93" s="456"/>
      <c r="S93" s="456"/>
      <c r="T93" s="456"/>
      <c r="U93" s="456"/>
      <c r="V93" s="456"/>
      <c r="W93" s="456"/>
      <c r="X93" s="456"/>
      <c r="Y93" s="456">
        <f t="shared" si="6"/>
        <v>117664</v>
      </c>
      <c r="Z93" s="457">
        <v>1020000</v>
      </c>
      <c r="AA93" s="468" t="s">
        <v>2020</v>
      </c>
      <c r="AB93" s="459">
        <v>44232</v>
      </c>
      <c r="AC93" s="464">
        <v>44251</v>
      </c>
      <c r="AD93" s="457"/>
      <c r="AE93" s="469"/>
      <c r="AF93" s="463"/>
      <c r="AG93" s="464"/>
      <c r="AH93" s="457"/>
      <c r="AI93" s="468"/>
      <c r="AJ93" s="463"/>
      <c r="AK93" s="464"/>
      <c r="AL93" s="457"/>
      <c r="AM93" s="468"/>
      <c r="AN93" s="463"/>
      <c r="AO93" s="464"/>
      <c r="AP93" s="457"/>
      <c r="AQ93" s="468"/>
      <c r="AR93" s="463"/>
      <c r="AS93" s="464"/>
      <c r="AT93" s="37">
        <f t="shared" si="4"/>
        <v>1020000</v>
      </c>
      <c r="AU93" s="465">
        <f t="shared" si="5"/>
        <v>902336</v>
      </c>
      <c r="AV93" s="466"/>
    </row>
    <row r="94" spans="2:48" s="26" customFormat="1" x14ac:dyDescent="0.2">
      <c r="B94" s="27">
        <f t="shared" si="7"/>
        <v>78</v>
      </c>
      <c r="C94" s="447" t="s">
        <v>39</v>
      </c>
      <c r="D94" s="448">
        <v>30126701</v>
      </c>
      <c r="E94" s="449" t="s">
        <v>2146</v>
      </c>
      <c r="F94" s="450" t="s">
        <v>147</v>
      </c>
      <c r="G94" s="451" t="s">
        <v>2025</v>
      </c>
      <c r="H94" s="472" t="s">
        <v>2134</v>
      </c>
      <c r="I94" s="452" t="s">
        <v>72</v>
      </c>
      <c r="J94" s="453">
        <v>717594</v>
      </c>
      <c r="K94" s="471">
        <v>0</v>
      </c>
      <c r="L94" s="455">
        <v>623396</v>
      </c>
      <c r="M94" s="456">
        <v>0</v>
      </c>
      <c r="N94" s="456">
        <v>0</v>
      </c>
      <c r="O94" s="456">
        <v>0</v>
      </c>
      <c r="P94" s="456"/>
      <c r="Q94" s="456"/>
      <c r="R94" s="456"/>
      <c r="S94" s="456"/>
      <c r="T94" s="456"/>
      <c r="U94" s="456"/>
      <c r="V94" s="456"/>
      <c r="W94" s="456"/>
      <c r="X94" s="456"/>
      <c r="Y94" s="456">
        <f t="shared" si="6"/>
        <v>0</v>
      </c>
      <c r="Z94" s="457">
        <v>94106</v>
      </c>
      <c r="AA94" s="468" t="s">
        <v>2037</v>
      </c>
      <c r="AB94" s="459">
        <v>44222</v>
      </c>
      <c r="AC94" s="464">
        <v>44225</v>
      </c>
      <c r="AD94" s="457"/>
      <c r="AE94" s="469"/>
      <c r="AF94" s="463"/>
      <c r="AG94" s="464"/>
      <c r="AH94" s="457"/>
      <c r="AI94" s="468"/>
      <c r="AJ94" s="463"/>
      <c r="AK94" s="464"/>
      <c r="AL94" s="457"/>
      <c r="AM94" s="468"/>
      <c r="AN94" s="463"/>
      <c r="AO94" s="464"/>
      <c r="AP94" s="457"/>
      <c r="AQ94" s="468"/>
      <c r="AR94" s="463"/>
      <c r="AS94" s="464"/>
      <c r="AT94" s="37">
        <f t="shared" si="4"/>
        <v>94106</v>
      </c>
      <c r="AU94" s="465">
        <f t="shared" si="5"/>
        <v>94106</v>
      </c>
      <c r="AV94" s="466"/>
    </row>
    <row r="95" spans="2:48" s="26" customFormat="1" x14ac:dyDescent="0.2">
      <c r="B95" s="27">
        <f t="shared" si="7"/>
        <v>79</v>
      </c>
      <c r="C95" s="447" t="s">
        <v>39</v>
      </c>
      <c r="D95" s="448">
        <v>30129336</v>
      </c>
      <c r="E95" s="449" t="s">
        <v>2147</v>
      </c>
      <c r="F95" s="450" t="s">
        <v>193</v>
      </c>
      <c r="G95" s="451" t="s">
        <v>2025</v>
      </c>
      <c r="H95" s="472" t="s">
        <v>2046</v>
      </c>
      <c r="I95" s="452" t="s">
        <v>72</v>
      </c>
      <c r="J95" s="453">
        <v>45021</v>
      </c>
      <c r="K95" s="454">
        <v>0</v>
      </c>
      <c r="L95" s="455">
        <v>990</v>
      </c>
      <c r="M95" s="456">
        <v>0</v>
      </c>
      <c r="N95" s="456">
        <v>0</v>
      </c>
      <c r="O95" s="456">
        <v>0</v>
      </c>
      <c r="P95" s="456"/>
      <c r="Q95" s="456"/>
      <c r="R95" s="456"/>
      <c r="S95" s="456"/>
      <c r="T95" s="456"/>
      <c r="U95" s="456"/>
      <c r="V95" s="456"/>
      <c r="W95" s="456"/>
      <c r="X95" s="456"/>
      <c r="Y95" s="456">
        <f t="shared" si="6"/>
        <v>0</v>
      </c>
      <c r="Z95" s="457">
        <v>22016</v>
      </c>
      <c r="AA95" s="468" t="s">
        <v>144</v>
      </c>
      <c r="AB95" s="459">
        <v>44224</v>
      </c>
      <c r="AC95" s="464">
        <v>44251</v>
      </c>
      <c r="AD95" s="457"/>
      <c r="AE95" s="469"/>
      <c r="AF95" s="463"/>
      <c r="AG95" s="464"/>
      <c r="AH95" s="457"/>
      <c r="AI95" s="468"/>
      <c r="AJ95" s="463"/>
      <c r="AK95" s="464"/>
      <c r="AL95" s="457"/>
      <c r="AM95" s="468"/>
      <c r="AN95" s="463"/>
      <c r="AO95" s="464"/>
      <c r="AP95" s="457"/>
      <c r="AQ95" s="468"/>
      <c r="AR95" s="463"/>
      <c r="AS95" s="464"/>
      <c r="AT95" s="37">
        <f t="shared" si="4"/>
        <v>22016</v>
      </c>
      <c r="AU95" s="465">
        <f t="shared" si="5"/>
        <v>22016</v>
      </c>
      <c r="AV95" s="466"/>
    </row>
    <row r="96" spans="2:48" s="26" customFormat="1" x14ac:dyDescent="0.2">
      <c r="B96" s="27">
        <f t="shared" si="7"/>
        <v>80</v>
      </c>
      <c r="C96" s="447" t="s">
        <v>39</v>
      </c>
      <c r="D96" s="448">
        <v>30129998</v>
      </c>
      <c r="E96" s="449" t="s">
        <v>2148</v>
      </c>
      <c r="F96" s="450" t="s">
        <v>147</v>
      </c>
      <c r="G96" s="451" t="s">
        <v>2025</v>
      </c>
      <c r="H96" s="472" t="s">
        <v>2048</v>
      </c>
      <c r="I96" s="452" t="s">
        <v>57</v>
      </c>
      <c r="J96" s="453">
        <v>1640993</v>
      </c>
      <c r="K96" s="467">
        <v>1288338</v>
      </c>
      <c r="L96" s="456">
        <v>0</v>
      </c>
      <c r="M96" s="456">
        <v>0</v>
      </c>
      <c r="N96" s="456">
        <v>0</v>
      </c>
      <c r="O96" s="456">
        <v>85692</v>
      </c>
      <c r="P96" s="456"/>
      <c r="Q96" s="456"/>
      <c r="R96" s="456"/>
      <c r="S96" s="456"/>
      <c r="T96" s="456"/>
      <c r="U96" s="456"/>
      <c r="V96" s="456"/>
      <c r="W96" s="456"/>
      <c r="X96" s="456"/>
      <c r="Y96" s="456">
        <f t="shared" si="6"/>
        <v>85692</v>
      </c>
      <c r="Z96" s="457">
        <v>278048</v>
      </c>
      <c r="AA96" s="468" t="s">
        <v>2084</v>
      </c>
      <c r="AB96" s="459">
        <v>44259</v>
      </c>
      <c r="AC96" s="464">
        <v>44274</v>
      </c>
      <c r="AD96" s="457"/>
      <c r="AE96" s="469"/>
      <c r="AF96" s="463"/>
      <c r="AG96" s="464"/>
      <c r="AH96" s="457"/>
      <c r="AI96" s="468"/>
      <c r="AJ96" s="463"/>
      <c r="AK96" s="464"/>
      <c r="AL96" s="457"/>
      <c r="AM96" s="468"/>
      <c r="AN96" s="463"/>
      <c r="AO96" s="464"/>
      <c r="AP96" s="457"/>
      <c r="AQ96" s="468"/>
      <c r="AR96" s="463"/>
      <c r="AS96" s="464"/>
      <c r="AT96" s="37">
        <f t="shared" si="4"/>
        <v>278048</v>
      </c>
      <c r="AU96" s="465">
        <f t="shared" si="5"/>
        <v>192356</v>
      </c>
      <c r="AV96" s="466"/>
    </row>
    <row r="97" spans="2:48" s="26" customFormat="1" x14ac:dyDescent="0.2">
      <c r="B97" s="27">
        <f t="shared" si="7"/>
        <v>81</v>
      </c>
      <c r="C97" s="447" t="s">
        <v>39</v>
      </c>
      <c r="D97" s="448">
        <v>30130354</v>
      </c>
      <c r="E97" s="449" t="s">
        <v>2149</v>
      </c>
      <c r="F97" s="450" t="s">
        <v>147</v>
      </c>
      <c r="G97" s="451" t="s">
        <v>2025</v>
      </c>
      <c r="H97" s="472" t="s">
        <v>2150</v>
      </c>
      <c r="I97" s="452" t="s">
        <v>72</v>
      </c>
      <c r="J97" s="453">
        <v>782332</v>
      </c>
      <c r="K97" s="471">
        <v>0</v>
      </c>
      <c r="L97" s="455">
        <v>477845</v>
      </c>
      <c r="M97" s="456">
        <v>0</v>
      </c>
      <c r="N97" s="456">
        <v>0</v>
      </c>
      <c r="O97" s="456">
        <v>0</v>
      </c>
      <c r="P97" s="456"/>
      <c r="Q97" s="456"/>
      <c r="R97" s="456"/>
      <c r="S97" s="456"/>
      <c r="T97" s="456"/>
      <c r="U97" s="456"/>
      <c r="V97" s="456"/>
      <c r="W97" s="456"/>
      <c r="X97" s="456"/>
      <c r="Y97" s="456">
        <f t="shared" si="6"/>
        <v>0</v>
      </c>
      <c r="Z97" s="457">
        <v>304388</v>
      </c>
      <c r="AA97" s="468" t="s">
        <v>2037</v>
      </c>
      <c r="AB97" s="459">
        <v>44222</v>
      </c>
      <c r="AC97" s="464">
        <v>44225</v>
      </c>
      <c r="AD97" s="457"/>
      <c r="AE97" s="469"/>
      <c r="AF97" s="463"/>
      <c r="AG97" s="464"/>
      <c r="AH97" s="457"/>
      <c r="AI97" s="468"/>
      <c r="AJ97" s="463"/>
      <c r="AK97" s="464"/>
      <c r="AL97" s="457"/>
      <c r="AM97" s="468"/>
      <c r="AN97" s="463"/>
      <c r="AO97" s="464"/>
      <c r="AP97" s="457"/>
      <c r="AQ97" s="468"/>
      <c r="AR97" s="463"/>
      <c r="AS97" s="464"/>
      <c r="AT97" s="37">
        <f t="shared" si="4"/>
        <v>304388</v>
      </c>
      <c r="AU97" s="465">
        <f t="shared" si="5"/>
        <v>304388</v>
      </c>
      <c r="AV97" s="466"/>
    </row>
    <row r="98" spans="2:48" s="26" customFormat="1" x14ac:dyDescent="0.2">
      <c r="B98" s="27">
        <f t="shared" si="7"/>
        <v>82</v>
      </c>
      <c r="C98" s="447" t="s">
        <v>39</v>
      </c>
      <c r="D98" s="448">
        <v>30130586</v>
      </c>
      <c r="E98" s="449" t="s">
        <v>2151</v>
      </c>
      <c r="F98" s="450" t="s">
        <v>193</v>
      </c>
      <c r="G98" s="451" t="s">
        <v>2025</v>
      </c>
      <c r="H98" s="472" t="s">
        <v>2066</v>
      </c>
      <c r="I98" s="452" t="s">
        <v>72</v>
      </c>
      <c r="J98" s="453">
        <v>55617</v>
      </c>
      <c r="K98" s="454">
        <v>0</v>
      </c>
      <c r="L98" s="455">
        <v>1</v>
      </c>
      <c r="M98" s="456">
        <v>0</v>
      </c>
      <c r="N98" s="456">
        <v>0</v>
      </c>
      <c r="O98" s="456">
        <v>12381</v>
      </c>
      <c r="P98" s="456"/>
      <c r="Q98" s="456"/>
      <c r="R98" s="456"/>
      <c r="S98" s="456"/>
      <c r="T98" s="456"/>
      <c r="U98" s="456"/>
      <c r="V98" s="456"/>
      <c r="W98" s="456"/>
      <c r="X98" s="456"/>
      <c r="Y98" s="456">
        <f t="shared" si="6"/>
        <v>12381</v>
      </c>
      <c r="Z98" s="457">
        <v>49526</v>
      </c>
      <c r="AA98" s="468" t="s">
        <v>144</v>
      </c>
      <c r="AB98" s="459">
        <v>44224</v>
      </c>
      <c r="AC98" s="464">
        <v>44251</v>
      </c>
      <c r="AD98" s="457"/>
      <c r="AE98" s="469"/>
      <c r="AF98" s="463"/>
      <c r="AG98" s="464"/>
      <c r="AH98" s="457"/>
      <c r="AI98" s="468"/>
      <c r="AJ98" s="463"/>
      <c r="AK98" s="464"/>
      <c r="AL98" s="457"/>
      <c r="AM98" s="468"/>
      <c r="AN98" s="463"/>
      <c r="AO98" s="464"/>
      <c r="AP98" s="457"/>
      <c r="AQ98" s="468"/>
      <c r="AR98" s="463"/>
      <c r="AS98" s="464"/>
      <c r="AT98" s="37">
        <f t="shared" si="4"/>
        <v>49526</v>
      </c>
      <c r="AU98" s="465">
        <f t="shared" si="5"/>
        <v>37145</v>
      </c>
      <c r="AV98" s="466"/>
    </row>
    <row r="99" spans="2:48" s="26" customFormat="1" x14ac:dyDescent="0.2">
      <c r="B99" s="27">
        <f t="shared" si="7"/>
        <v>83</v>
      </c>
      <c r="C99" s="447" t="s">
        <v>39</v>
      </c>
      <c r="D99" s="448">
        <v>30131751</v>
      </c>
      <c r="E99" s="449" t="s">
        <v>2152</v>
      </c>
      <c r="F99" s="450" t="s">
        <v>147</v>
      </c>
      <c r="G99" s="451" t="s">
        <v>2025</v>
      </c>
      <c r="H99" s="472" t="s">
        <v>2153</v>
      </c>
      <c r="I99" s="452" t="s">
        <v>57</v>
      </c>
      <c r="J99" s="453">
        <v>1486856</v>
      </c>
      <c r="K99" s="454">
        <v>1415290</v>
      </c>
      <c r="L99" s="455">
        <v>0</v>
      </c>
      <c r="M99" s="456">
        <v>0</v>
      </c>
      <c r="N99" s="456">
        <v>0</v>
      </c>
      <c r="O99" s="456">
        <v>0</v>
      </c>
      <c r="P99" s="456"/>
      <c r="Q99" s="456"/>
      <c r="R99" s="456"/>
      <c r="S99" s="456"/>
      <c r="T99" s="456"/>
      <c r="U99" s="456"/>
      <c r="V99" s="456"/>
      <c r="W99" s="456"/>
      <c r="X99" s="456"/>
      <c r="Y99" s="456">
        <f t="shared" si="6"/>
        <v>0</v>
      </c>
      <c r="Z99" s="457">
        <v>71566</v>
      </c>
      <c r="AA99" s="468" t="s">
        <v>144</v>
      </c>
      <c r="AB99" s="459">
        <v>44224</v>
      </c>
      <c r="AC99" s="464">
        <v>44251</v>
      </c>
      <c r="AD99" s="457"/>
      <c r="AE99" s="469"/>
      <c r="AF99" s="463"/>
      <c r="AG99" s="464"/>
      <c r="AH99" s="457"/>
      <c r="AI99" s="468"/>
      <c r="AJ99" s="463"/>
      <c r="AK99" s="464"/>
      <c r="AL99" s="457"/>
      <c r="AM99" s="468"/>
      <c r="AN99" s="463"/>
      <c r="AO99" s="464"/>
      <c r="AP99" s="457"/>
      <c r="AQ99" s="468"/>
      <c r="AR99" s="463"/>
      <c r="AS99" s="464"/>
      <c r="AT99" s="37">
        <f t="shared" si="4"/>
        <v>71566</v>
      </c>
      <c r="AU99" s="465">
        <f t="shared" si="5"/>
        <v>71566</v>
      </c>
      <c r="AV99" s="466"/>
    </row>
    <row r="100" spans="2:48" s="26" customFormat="1" x14ac:dyDescent="0.2">
      <c r="B100" s="27">
        <f t="shared" si="7"/>
        <v>84</v>
      </c>
      <c r="C100" s="447" t="s">
        <v>39</v>
      </c>
      <c r="D100" s="448">
        <v>30132531</v>
      </c>
      <c r="E100" s="449" t="s">
        <v>2154</v>
      </c>
      <c r="F100" s="450" t="s">
        <v>2155</v>
      </c>
      <c r="G100" s="451" t="s">
        <v>2025</v>
      </c>
      <c r="H100" s="472" t="s">
        <v>2030</v>
      </c>
      <c r="I100" s="452" t="s">
        <v>57</v>
      </c>
      <c r="J100" s="454">
        <v>110795</v>
      </c>
      <c r="K100" s="453">
        <v>45473</v>
      </c>
      <c r="L100" s="456">
        <v>0</v>
      </c>
      <c r="M100" s="456">
        <v>0</v>
      </c>
      <c r="N100" s="456">
        <v>0</v>
      </c>
      <c r="O100" s="456">
        <v>0</v>
      </c>
      <c r="P100" s="456"/>
      <c r="Q100" s="456"/>
      <c r="R100" s="456"/>
      <c r="S100" s="456"/>
      <c r="T100" s="456"/>
      <c r="U100" s="456"/>
      <c r="V100" s="456"/>
      <c r="W100" s="456"/>
      <c r="X100" s="456"/>
      <c r="Y100" s="456">
        <f t="shared" si="6"/>
        <v>0</v>
      </c>
      <c r="Z100" s="457">
        <v>39031</v>
      </c>
      <c r="AA100" s="468" t="s">
        <v>2060</v>
      </c>
      <c r="AB100" s="459">
        <v>44237</v>
      </c>
      <c r="AC100" s="464">
        <v>44251</v>
      </c>
      <c r="AD100" s="457"/>
      <c r="AE100" s="469"/>
      <c r="AF100" s="463"/>
      <c r="AG100" s="464"/>
      <c r="AH100" s="457"/>
      <c r="AI100" s="468"/>
      <c r="AJ100" s="463"/>
      <c r="AK100" s="464"/>
      <c r="AL100" s="457"/>
      <c r="AM100" s="468"/>
      <c r="AN100" s="463"/>
      <c r="AO100" s="464"/>
      <c r="AP100" s="457"/>
      <c r="AQ100" s="468"/>
      <c r="AR100" s="463"/>
      <c r="AS100" s="464"/>
      <c r="AT100" s="37">
        <f t="shared" si="4"/>
        <v>39031</v>
      </c>
      <c r="AU100" s="465">
        <f t="shared" si="5"/>
        <v>39031</v>
      </c>
      <c r="AV100" s="466"/>
    </row>
    <row r="101" spans="2:48" s="26" customFormat="1" ht="22.5" x14ac:dyDescent="0.2">
      <c r="B101" s="27">
        <f t="shared" si="7"/>
        <v>85</v>
      </c>
      <c r="C101" s="447" t="s">
        <v>39</v>
      </c>
      <c r="D101" s="448">
        <v>30132928</v>
      </c>
      <c r="E101" s="449" t="s">
        <v>2156</v>
      </c>
      <c r="F101" s="450" t="s">
        <v>147</v>
      </c>
      <c r="G101" s="451" t="s">
        <v>2025</v>
      </c>
      <c r="H101" s="472" t="s">
        <v>2062</v>
      </c>
      <c r="I101" s="452" t="s">
        <v>72</v>
      </c>
      <c r="J101" s="453">
        <v>1383596</v>
      </c>
      <c r="K101" s="471">
        <v>0</v>
      </c>
      <c r="L101" s="455">
        <v>1156526</v>
      </c>
      <c r="M101" s="456">
        <v>0</v>
      </c>
      <c r="N101" s="456">
        <v>0</v>
      </c>
      <c r="O101" s="456">
        <v>0</v>
      </c>
      <c r="P101" s="456"/>
      <c r="Q101" s="456"/>
      <c r="R101" s="456"/>
      <c r="S101" s="456"/>
      <c r="T101" s="456"/>
      <c r="U101" s="456"/>
      <c r="V101" s="456"/>
      <c r="W101" s="456"/>
      <c r="X101" s="456"/>
      <c r="Y101" s="456">
        <f t="shared" si="6"/>
        <v>0</v>
      </c>
      <c r="Z101" s="457">
        <v>227070</v>
      </c>
      <c r="AA101" s="468" t="s">
        <v>2037</v>
      </c>
      <c r="AB101" s="459">
        <v>44222</v>
      </c>
      <c r="AC101" s="464">
        <v>44225</v>
      </c>
      <c r="AD101" s="457"/>
      <c r="AE101" s="469"/>
      <c r="AF101" s="463"/>
      <c r="AG101" s="464"/>
      <c r="AH101" s="457"/>
      <c r="AI101" s="468"/>
      <c r="AJ101" s="463"/>
      <c r="AK101" s="464"/>
      <c r="AL101" s="457"/>
      <c r="AM101" s="468"/>
      <c r="AN101" s="463"/>
      <c r="AO101" s="464"/>
      <c r="AP101" s="457"/>
      <c r="AQ101" s="468"/>
      <c r="AR101" s="463"/>
      <c r="AS101" s="464"/>
      <c r="AT101" s="37">
        <f t="shared" si="4"/>
        <v>227070</v>
      </c>
      <c r="AU101" s="465">
        <f t="shared" si="5"/>
        <v>227070</v>
      </c>
      <c r="AV101" s="466"/>
    </row>
    <row r="102" spans="2:48" s="26" customFormat="1" x14ac:dyDescent="0.2">
      <c r="B102" s="27">
        <f t="shared" si="7"/>
        <v>86</v>
      </c>
      <c r="C102" s="447" t="s">
        <v>39</v>
      </c>
      <c r="D102" s="448">
        <v>30135312</v>
      </c>
      <c r="E102" s="449" t="s">
        <v>2157</v>
      </c>
      <c r="F102" s="450" t="s">
        <v>147</v>
      </c>
      <c r="G102" s="451" t="s">
        <v>2025</v>
      </c>
      <c r="H102" s="472" t="s">
        <v>2158</v>
      </c>
      <c r="I102" s="452"/>
      <c r="J102" s="453">
        <v>116123</v>
      </c>
      <c r="K102" s="471"/>
      <c r="L102" s="455">
        <v>116122</v>
      </c>
      <c r="M102" s="456"/>
      <c r="N102" s="456"/>
      <c r="O102" s="456"/>
      <c r="P102" s="456"/>
      <c r="Q102" s="456"/>
      <c r="R102" s="456"/>
      <c r="S102" s="456"/>
      <c r="T102" s="456"/>
      <c r="U102" s="456"/>
      <c r="V102" s="456"/>
      <c r="W102" s="456"/>
      <c r="X102" s="456"/>
      <c r="Y102" s="456">
        <f t="shared" si="6"/>
        <v>0</v>
      </c>
      <c r="Z102" s="457">
        <v>0</v>
      </c>
      <c r="AA102" s="468" t="s">
        <v>2037</v>
      </c>
      <c r="AB102" s="459">
        <v>44222</v>
      </c>
      <c r="AC102" s="464">
        <v>44225</v>
      </c>
      <c r="AD102" s="457"/>
      <c r="AE102" s="469"/>
      <c r="AF102" s="463"/>
      <c r="AG102" s="464"/>
      <c r="AH102" s="457"/>
      <c r="AI102" s="468"/>
      <c r="AJ102" s="463"/>
      <c r="AK102" s="464"/>
      <c r="AL102" s="457"/>
      <c r="AM102" s="468"/>
      <c r="AN102" s="463"/>
      <c r="AO102" s="464"/>
      <c r="AP102" s="457"/>
      <c r="AQ102" s="468"/>
      <c r="AR102" s="463"/>
      <c r="AS102" s="464"/>
      <c r="AT102" s="37">
        <f t="shared" si="4"/>
        <v>0</v>
      </c>
      <c r="AU102" s="465">
        <f t="shared" si="5"/>
        <v>0</v>
      </c>
      <c r="AV102" s="466"/>
    </row>
    <row r="103" spans="2:48" s="26" customFormat="1" x14ac:dyDescent="0.2">
      <c r="B103" s="27">
        <f t="shared" si="7"/>
        <v>87</v>
      </c>
      <c r="C103" s="447" t="s">
        <v>39</v>
      </c>
      <c r="D103" s="448">
        <v>30135708</v>
      </c>
      <c r="E103" s="449" t="s">
        <v>2159</v>
      </c>
      <c r="F103" s="450" t="s">
        <v>147</v>
      </c>
      <c r="G103" s="451" t="s">
        <v>2025</v>
      </c>
      <c r="H103" s="472" t="s">
        <v>2160</v>
      </c>
      <c r="I103" s="452" t="s">
        <v>57</v>
      </c>
      <c r="J103" s="454">
        <v>1156188</v>
      </c>
      <c r="K103" s="453">
        <v>1125554</v>
      </c>
      <c r="L103" s="456">
        <v>1277</v>
      </c>
      <c r="M103" s="456">
        <v>0</v>
      </c>
      <c r="N103" s="456">
        <v>1569</v>
      </c>
      <c r="O103" s="456">
        <v>19316</v>
      </c>
      <c r="P103" s="456"/>
      <c r="Q103" s="456"/>
      <c r="R103" s="456"/>
      <c r="S103" s="456"/>
      <c r="T103" s="456"/>
      <c r="U103" s="456"/>
      <c r="V103" s="456"/>
      <c r="W103" s="456"/>
      <c r="X103" s="456"/>
      <c r="Y103" s="456">
        <f t="shared" si="6"/>
        <v>20885</v>
      </c>
      <c r="Z103" s="457">
        <v>28041</v>
      </c>
      <c r="AA103" s="468" t="s">
        <v>2060</v>
      </c>
      <c r="AB103" s="459">
        <v>44237</v>
      </c>
      <c r="AC103" s="464">
        <v>44251</v>
      </c>
      <c r="AD103" s="457"/>
      <c r="AE103" s="469"/>
      <c r="AF103" s="463"/>
      <c r="AG103" s="464"/>
      <c r="AH103" s="457"/>
      <c r="AI103" s="468"/>
      <c r="AJ103" s="463"/>
      <c r="AK103" s="464"/>
      <c r="AL103" s="457"/>
      <c r="AM103" s="468"/>
      <c r="AN103" s="463"/>
      <c r="AO103" s="464"/>
      <c r="AP103" s="457"/>
      <c r="AQ103" s="468"/>
      <c r="AR103" s="463"/>
      <c r="AS103" s="464"/>
      <c r="AT103" s="37">
        <f t="shared" si="4"/>
        <v>28041</v>
      </c>
      <c r="AU103" s="465">
        <f t="shared" si="5"/>
        <v>7156</v>
      </c>
      <c r="AV103" s="466"/>
    </row>
    <row r="104" spans="2:48" s="26" customFormat="1" x14ac:dyDescent="0.2">
      <c r="B104" s="27">
        <f t="shared" si="7"/>
        <v>88</v>
      </c>
      <c r="C104" s="447" t="s">
        <v>39</v>
      </c>
      <c r="D104" s="448">
        <v>30136315</v>
      </c>
      <c r="E104" s="449" t="s">
        <v>2161</v>
      </c>
      <c r="F104" s="450" t="s">
        <v>147</v>
      </c>
      <c r="G104" s="451" t="s">
        <v>2025</v>
      </c>
      <c r="H104" s="472" t="s">
        <v>2099</v>
      </c>
      <c r="I104" s="452" t="s">
        <v>57</v>
      </c>
      <c r="J104" s="453">
        <v>2421289</v>
      </c>
      <c r="K104" s="467">
        <v>10653</v>
      </c>
      <c r="L104" s="456">
        <v>1598636</v>
      </c>
      <c r="M104" s="456">
        <v>0</v>
      </c>
      <c r="N104" s="456">
        <v>0</v>
      </c>
      <c r="O104" s="456">
        <v>0</v>
      </c>
      <c r="P104" s="456"/>
      <c r="Q104" s="456"/>
      <c r="R104" s="456"/>
      <c r="S104" s="456"/>
      <c r="T104" s="456"/>
      <c r="U104" s="456"/>
      <c r="V104" s="456"/>
      <c r="W104" s="456"/>
      <c r="X104" s="456"/>
      <c r="Y104" s="456">
        <f t="shared" si="6"/>
        <v>0</v>
      </c>
      <c r="Z104" s="457">
        <v>812000</v>
      </c>
      <c r="AA104" s="468" t="s">
        <v>2020</v>
      </c>
      <c r="AB104" s="459">
        <v>44232</v>
      </c>
      <c r="AC104" s="464">
        <v>44251</v>
      </c>
      <c r="AD104" s="457"/>
      <c r="AE104" s="469"/>
      <c r="AF104" s="463"/>
      <c r="AG104" s="464"/>
      <c r="AH104" s="457"/>
      <c r="AI104" s="468"/>
      <c r="AJ104" s="463"/>
      <c r="AK104" s="464"/>
      <c r="AL104" s="457"/>
      <c r="AM104" s="468"/>
      <c r="AN104" s="463"/>
      <c r="AO104" s="464"/>
      <c r="AP104" s="457"/>
      <c r="AQ104" s="468"/>
      <c r="AR104" s="463"/>
      <c r="AS104" s="464"/>
      <c r="AT104" s="37">
        <f t="shared" si="4"/>
        <v>812000</v>
      </c>
      <c r="AU104" s="465">
        <f t="shared" si="5"/>
        <v>812000</v>
      </c>
      <c r="AV104" s="466"/>
    </row>
    <row r="105" spans="2:48" s="26" customFormat="1" x14ac:dyDescent="0.2">
      <c r="B105" s="27">
        <f t="shared" si="7"/>
        <v>89</v>
      </c>
      <c r="C105" s="447" t="s">
        <v>39</v>
      </c>
      <c r="D105" s="448">
        <v>30136329</v>
      </c>
      <c r="E105" s="449" t="s">
        <v>2162</v>
      </c>
      <c r="F105" s="450" t="s">
        <v>193</v>
      </c>
      <c r="G105" s="451" t="s">
        <v>2025</v>
      </c>
      <c r="H105" s="472" t="s">
        <v>2046</v>
      </c>
      <c r="I105" s="452" t="s">
        <v>57</v>
      </c>
      <c r="J105" s="453">
        <v>48285</v>
      </c>
      <c r="K105" s="454">
        <v>25644</v>
      </c>
      <c r="L105" s="455">
        <v>0</v>
      </c>
      <c r="M105" s="456">
        <v>0</v>
      </c>
      <c r="N105" s="456">
        <v>0</v>
      </c>
      <c r="O105" s="456">
        <v>0</v>
      </c>
      <c r="P105" s="456"/>
      <c r="Q105" s="456"/>
      <c r="R105" s="456"/>
      <c r="S105" s="456"/>
      <c r="T105" s="456"/>
      <c r="U105" s="456"/>
      <c r="V105" s="456"/>
      <c r="W105" s="456"/>
      <c r="X105" s="456"/>
      <c r="Y105" s="456">
        <f t="shared" si="6"/>
        <v>0</v>
      </c>
      <c r="Z105" s="457">
        <v>14520</v>
      </c>
      <c r="AA105" s="468" t="s">
        <v>144</v>
      </c>
      <c r="AB105" s="459">
        <v>44224</v>
      </c>
      <c r="AC105" s="464">
        <v>44251</v>
      </c>
      <c r="AD105" s="457"/>
      <c r="AE105" s="469"/>
      <c r="AF105" s="463"/>
      <c r="AG105" s="464"/>
      <c r="AH105" s="457"/>
      <c r="AI105" s="468"/>
      <c r="AJ105" s="463"/>
      <c r="AK105" s="464"/>
      <c r="AL105" s="457"/>
      <c r="AM105" s="468"/>
      <c r="AN105" s="463"/>
      <c r="AO105" s="464"/>
      <c r="AP105" s="457"/>
      <c r="AQ105" s="468"/>
      <c r="AR105" s="463"/>
      <c r="AS105" s="464"/>
      <c r="AT105" s="37">
        <f t="shared" si="4"/>
        <v>14520</v>
      </c>
      <c r="AU105" s="465">
        <f t="shared" si="5"/>
        <v>14520</v>
      </c>
      <c r="AV105" s="466"/>
    </row>
    <row r="106" spans="2:48" s="26" customFormat="1" x14ac:dyDescent="0.2">
      <c r="B106" s="27">
        <f t="shared" si="7"/>
        <v>90</v>
      </c>
      <c r="C106" s="447" t="s">
        <v>39</v>
      </c>
      <c r="D106" s="448">
        <v>30155873</v>
      </c>
      <c r="E106" s="449" t="s">
        <v>2163</v>
      </c>
      <c r="F106" s="450" t="s">
        <v>147</v>
      </c>
      <c r="G106" s="451" t="s">
        <v>2025</v>
      </c>
      <c r="H106" s="472" t="s">
        <v>2046</v>
      </c>
      <c r="I106" s="452" t="s">
        <v>57</v>
      </c>
      <c r="J106" s="453">
        <v>2385177</v>
      </c>
      <c r="K106" s="454">
        <v>843562</v>
      </c>
      <c r="L106" s="455">
        <v>2</v>
      </c>
      <c r="M106" s="456">
        <v>0</v>
      </c>
      <c r="N106" s="456">
        <v>395339</v>
      </c>
      <c r="O106" s="456">
        <v>81441</v>
      </c>
      <c r="P106" s="456"/>
      <c r="Q106" s="456"/>
      <c r="R106" s="456"/>
      <c r="S106" s="456"/>
      <c r="T106" s="456"/>
      <c r="U106" s="456"/>
      <c r="V106" s="456"/>
      <c r="W106" s="456"/>
      <c r="X106" s="456"/>
      <c r="Y106" s="456">
        <f t="shared" si="6"/>
        <v>476780</v>
      </c>
      <c r="Z106" s="457">
        <v>1541613</v>
      </c>
      <c r="AA106" s="468" t="s">
        <v>144</v>
      </c>
      <c r="AB106" s="459">
        <v>44224</v>
      </c>
      <c r="AC106" s="464">
        <v>44251</v>
      </c>
      <c r="AD106" s="457"/>
      <c r="AE106" s="469"/>
      <c r="AF106" s="463"/>
      <c r="AG106" s="464"/>
      <c r="AH106" s="457"/>
      <c r="AI106" s="468"/>
      <c r="AJ106" s="463"/>
      <c r="AK106" s="464"/>
      <c r="AL106" s="457"/>
      <c r="AM106" s="468"/>
      <c r="AN106" s="463"/>
      <c r="AO106" s="464"/>
      <c r="AP106" s="457"/>
      <c r="AQ106" s="468"/>
      <c r="AR106" s="463"/>
      <c r="AS106" s="464"/>
      <c r="AT106" s="37">
        <f t="shared" si="4"/>
        <v>1541613</v>
      </c>
      <c r="AU106" s="465">
        <f t="shared" si="5"/>
        <v>1064833</v>
      </c>
      <c r="AV106" s="466"/>
    </row>
    <row r="107" spans="2:48" s="26" customFormat="1" x14ac:dyDescent="0.2">
      <c r="B107" s="27">
        <f t="shared" si="7"/>
        <v>91</v>
      </c>
      <c r="C107" s="447" t="s">
        <v>39</v>
      </c>
      <c r="D107" s="448">
        <v>30221173</v>
      </c>
      <c r="E107" s="449" t="s">
        <v>2164</v>
      </c>
      <c r="F107" s="450" t="s">
        <v>147</v>
      </c>
      <c r="G107" s="451" t="s">
        <v>2025</v>
      </c>
      <c r="H107" s="472" t="s">
        <v>2134</v>
      </c>
      <c r="I107" s="452" t="s">
        <v>57</v>
      </c>
      <c r="J107" s="453">
        <v>1031379</v>
      </c>
      <c r="K107" s="467">
        <v>19993</v>
      </c>
      <c r="L107" s="456">
        <v>288271</v>
      </c>
      <c r="M107" s="456">
        <v>0</v>
      </c>
      <c r="N107" s="456">
        <v>0</v>
      </c>
      <c r="O107" s="456">
        <v>0</v>
      </c>
      <c r="P107" s="456"/>
      <c r="Q107" s="456"/>
      <c r="R107" s="456"/>
      <c r="S107" s="456"/>
      <c r="T107" s="456"/>
      <c r="U107" s="456"/>
      <c r="V107" s="456"/>
      <c r="W107" s="456"/>
      <c r="X107" s="456"/>
      <c r="Y107" s="456">
        <f t="shared" si="6"/>
        <v>0</v>
      </c>
      <c r="Z107" s="457">
        <v>700000</v>
      </c>
      <c r="AA107" s="468" t="s">
        <v>2020</v>
      </c>
      <c r="AB107" s="459">
        <v>44232</v>
      </c>
      <c r="AC107" s="464">
        <v>44251</v>
      </c>
      <c r="AD107" s="457"/>
      <c r="AE107" s="469"/>
      <c r="AF107" s="463"/>
      <c r="AG107" s="464"/>
      <c r="AH107" s="457"/>
      <c r="AI107" s="468"/>
      <c r="AJ107" s="463"/>
      <c r="AK107" s="464"/>
      <c r="AL107" s="457"/>
      <c r="AM107" s="468"/>
      <c r="AN107" s="463"/>
      <c r="AO107" s="464"/>
      <c r="AP107" s="457"/>
      <c r="AQ107" s="468"/>
      <c r="AR107" s="463"/>
      <c r="AS107" s="464"/>
      <c r="AT107" s="37">
        <f t="shared" si="4"/>
        <v>700000</v>
      </c>
      <c r="AU107" s="465">
        <f t="shared" si="5"/>
        <v>700000</v>
      </c>
      <c r="AV107" s="466"/>
    </row>
    <row r="108" spans="2:48" s="26" customFormat="1" x14ac:dyDescent="0.2">
      <c r="B108" s="27">
        <f t="shared" si="7"/>
        <v>92</v>
      </c>
      <c r="C108" s="447" t="s">
        <v>39</v>
      </c>
      <c r="D108" s="448">
        <v>30224673</v>
      </c>
      <c r="E108" s="449" t="s">
        <v>2165</v>
      </c>
      <c r="F108" s="450" t="s">
        <v>147</v>
      </c>
      <c r="G108" s="451" t="s">
        <v>2025</v>
      </c>
      <c r="H108" s="472" t="s">
        <v>2166</v>
      </c>
      <c r="I108" s="452" t="s">
        <v>57</v>
      </c>
      <c r="J108" s="453">
        <v>3809483</v>
      </c>
      <c r="K108" s="467">
        <v>3382973</v>
      </c>
      <c r="L108" s="479">
        <v>46510</v>
      </c>
      <c r="M108" s="456">
        <v>0</v>
      </c>
      <c r="N108" s="456">
        <v>0</v>
      </c>
      <c r="O108" s="456">
        <v>201159</v>
      </c>
      <c r="P108" s="456"/>
      <c r="Q108" s="456"/>
      <c r="R108" s="456"/>
      <c r="S108" s="456"/>
      <c r="T108" s="456"/>
      <c r="U108" s="456"/>
      <c r="V108" s="456"/>
      <c r="W108" s="456"/>
      <c r="X108" s="456"/>
      <c r="Y108" s="456">
        <f t="shared" si="6"/>
        <v>201159</v>
      </c>
      <c r="Z108" s="457">
        <v>300000</v>
      </c>
      <c r="AA108" s="468" t="s">
        <v>2020</v>
      </c>
      <c r="AB108" s="459">
        <v>44232</v>
      </c>
      <c r="AC108" s="464">
        <v>44251</v>
      </c>
      <c r="AD108" s="457">
        <v>1160</v>
      </c>
      <c r="AE108" s="469">
        <v>15</v>
      </c>
      <c r="AF108" s="463">
        <v>44259</v>
      </c>
      <c r="AG108" s="464">
        <v>44274</v>
      </c>
      <c r="AH108" s="457"/>
      <c r="AI108" s="468"/>
      <c r="AJ108" s="463"/>
      <c r="AK108" s="464"/>
      <c r="AL108" s="457"/>
      <c r="AM108" s="468"/>
      <c r="AN108" s="463"/>
      <c r="AO108" s="464"/>
      <c r="AP108" s="457"/>
      <c r="AQ108" s="468"/>
      <c r="AR108" s="463"/>
      <c r="AS108" s="464"/>
      <c r="AT108" s="37">
        <f t="shared" si="4"/>
        <v>301160</v>
      </c>
      <c r="AU108" s="465">
        <f t="shared" si="5"/>
        <v>100001</v>
      </c>
      <c r="AV108" s="466"/>
    </row>
    <row r="109" spans="2:48" s="26" customFormat="1" x14ac:dyDescent="0.2">
      <c r="B109" s="27">
        <f t="shared" si="7"/>
        <v>93</v>
      </c>
      <c r="C109" s="447" t="s">
        <v>39</v>
      </c>
      <c r="D109" s="448">
        <v>30256122</v>
      </c>
      <c r="E109" s="449" t="s">
        <v>2167</v>
      </c>
      <c r="F109" s="450" t="s">
        <v>193</v>
      </c>
      <c r="G109" s="451" t="s">
        <v>2025</v>
      </c>
      <c r="H109" s="472" t="s">
        <v>2168</v>
      </c>
      <c r="I109" s="452" t="s">
        <v>57</v>
      </c>
      <c r="J109" s="454">
        <v>39229</v>
      </c>
      <c r="K109" s="453">
        <v>20358</v>
      </c>
      <c r="L109" s="456">
        <v>0</v>
      </c>
      <c r="M109" s="456">
        <v>0</v>
      </c>
      <c r="N109" s="456">
        <v>6966</v>
      </c>
      <c r="O109" s="456">
        <v>6070</v>
      </c>
      <c r="P109" s="456"/>
      <c r="Q109" s="456"/>
      <c r="R109" s="456"/>
      <c r="S109" s="456"/>
      <c r="T109" s="456"/>
      <c r="U109" s="456"/>
      <c r="V109" s="456"/>
      <c r="W109" s="456"/>
      <c r="X109" s="456"/>
      <c r="Y109" s="456">
        <f t="shared" si="6"/>
        <v>13036</v>
      </c>
      <c r="Z109" s="457">
        <v>18871</v>
      </c>
      <c r="AA109" s="468" t="s">
        <v>2060</v>
      </c>
      <c r="AB109" s="459">
        <v>44237</v>
      </c>
      <c r="AC109" s="464">
        <v>44251</v>
      </c>
      <c r="AD109" s="457"/>
      <c r="AE109" s="469"/>
      <c r="AF109" s="463"/>
      <c r="AG109" s="464"/>
      <c r="AH109" s="457"/>
      <c r="AI109" s="468"/>
      <c r="AJ109" s="463"/>
      <c r="AK109" s="464"/>
      <c r="AL109" s="457"/>
      <c r="AM109" s="468"/>
      <c r="AN109" s="463"/>
      <c r="AO109" s="464"/>
      <c r="AP109" s="457"/>
      <c r="AQ109" s="468"/>
      <c r="AR109" s="463"/>
      <c r="AS109" s="464"/>
      <c r="AT109" s="37">
        <f t="shared" si="4"/>
        <v>18871</v>
      </c>
      <c r="AU109" s="465">
        <f t="shared" si="5"/>
        <v>5835</v>
      </c>
      <c r="AV109" s="466"/>
    </row>
    <row r="110" spans="2:48" s="26" customFormat="1" x14ac:dyDescent="0.2">
      <c r="B110" s="27">
        <f t="shared" si="7"/>
        <v>94</v>
      </c>
      <c r="C110" s="447" t="s">
        <v>39</v>
      </c>
      <c r="D110" s="448">
        <v>30267380</v>
      </c>
      <c r="E110" s="449" t="s">
        <v>2169</v>
      </c>
      <c r="F110" s="450" t="s">
        <v>147</v>
      </c>
      <c r="G110" s="451" t="s">
        <v>2025</v>
      </c>
      <c r="H110" s="472" t="s">
        <v>2108</v>
      </c>
      <c r="I110" s="452" t="s">
        <v>57</v>
      </c>
      <c r="J110" s="453">
        <v>2726624</v>
      </c>
      <c r="K110" s="467">
        <v>2473836</v>
      </c>
      <c r="L110" s="456">
        <v>0</v>
      </c>
      <c r="M110" s="456">
        <v>0</v>
      </c>
      <c r="N110" s="456">
        <v>0</v>
      </c>
      <c r="O110" s="456">
        <v>0</v>
      </c>
      <c r="P110" s="456"/>
      <c r="Q110" s="456"/>
      <c r="R110" s="456"/>
      <c r="S110" s="456"/>
      <c r="T110" s="456"/>
      <c r="U110" s="456"/>
      <c r="V110" s="456"/>
      <c r="W110" s="456"/>
      <c r="X110" s="456"/>
      <c r="Y110" s="456">
        <f t="shared" si="6"/>
        <v>0</v>
      </c>
      <c r="Z110" s="457">
        <v>252771</v>
      </c>
      <c r="AA110" s="468" t="s">
        <v>2084</v>
      </c>
      <c r="AB110" s="459">
        <v>44259</v>
      </c>
      <c r="AC110" s="464">
        <v>44274</v>
      </c>
      <c r="AD110" s="457"/>
      <c r="AE110" s="469"/>
      <c r="AF110" s="463"/>
      <c r="AG110" s="464"/>
      <c r="AH110" s="457"/>
      <c r="AI110" s="468"/>
      <c r="AJ110" s="463"/>
      <c r="AK110" s="464"/>
      <c r="AL110" s="457"/>
      <c r="AM110" s="468"/>
      <c r="AN110" s="463"/>
      <c r="AO110" s="464"/>
      <c r="AP110" s="457"/>
      <c r="AQ110" s="468"/>
      <c r="AR110" s="463"/>
      <c r="AS110" s="464"/>
      <c r="AT110" s="37">
        <f t="shared" si="4"/>
        <v>252771</v>
      </c>
      <c r="AU110" s="465">
        <f t="shared" si="5"/>
        <v>252771</v>
      </c>
      <c r="AV110" s="466"/>
    </row>
    <row r="111" spans="2:48" s="26" customFormat="1" x14ac:dyDescent="0.2">
      <c r="B111" s="27">
        <f t="shared" si="7"/>
        <v>95</v>
      </c>
      <c r="C111" s="447" t="s">
        <v>39</v>
      </c>
      <c r="D111" s="448">
        <v>30271873</v>
      </c>
      <c r="E111" s="449" t="s">
        <v>2170</v>
      </c>
      <c r="F111" s="450" t="s">
        <v>147</v>
      </c>
      <c r="G111" s="451" t="s">
        <v>2025</v>
      </c>
      <c r="H111" s="472" t="s">
        <v>2048</v>
      </c>
      <c r="I111" s="452" t="s">
        <v>72</v>
      </c>
      <c r="J111" s="453">
        <v>559584</v>
      </c>
      <c r="K111" s="467">
        <v>0</v>
      </c>
      <c r="L111" s="456">
        <v>342913</v>
      </c>
      <c r="M111" s="456">
        <v>0</v>
      </c>
      <c r="N111" s="456">
        <v>0</v>
      </c>
      <c r="O111" s="456">
        <v>0</v>
      </c>
      <c r="P111" s="456"/>
      <c r="Q111" s="456"/>
      <c r="R111" s="456"/>
      <c r="S111" s="456"/>
      <c r="T111" s="456"/>
      <c r="U111" s="456"/>
      <c r="V111" s="456"/>
      <c r="W111" s="456"/>
      <c r="X111" s="456"/>
      <c r="Y111" s="456">
        <f t="shared" si="6"/>
        <v>0</v>
      </c>
      <c r="Z111" s="457">
        <v>107002</v>
      </c>
      <c r="AA111" s="468" t="s">
        <v>2084</v>
      </c>
      <c r="AB111" s="459">
        <v>44259</v>
      </c>
      <c r="AC111" s="464">
        <v>44274</v>
      </c>
      <c r="AD111" s="457"/>
      <c r="AE111" s="469"/>
      <c r="AF111" s="463"/>
      <c r="AG111" s="464"/>
      <c r="AH111" s="457"/>
      <c r="AI111" s="468"/>
      <c r="AJ111" s="463"/>
      <c r="AK111" s="464"/>
      <c r="AL111" s="457"/>
      <c r="AM111" s="468"/>
      <c r="AN111" s="463"/>
      <c r="AO111" s="464"/>
      <c r="AP111" s="457"/>
      <c r="AQ111" s="468"/>
      <c r="AR111" s="463"/>
      <c r="AS111" s="464"/>
      <c r="AT111" s="37">
        <f t="shared" si="4"/>
        <v>107002</v>
      </c>
      <c r="AU111" s="465">
        <f t="shared" si="5"/>
        <v>107002</v>
      </c>
      <c r="AV111" s="466"/>
    </row>
    <row r="112" spans="2:48" s="26" customFormat="1" x14ac:dyDescent="0.2">
      <c r="B112" s="27">
        <f>+B111+1</f>
        <v>96</v>
      </c>
      <c r="C112" s="447" t="s">
        <v>39</v>
      </c>
      <c r="D112" s="448">
        <v>30292973</v>
      </c>
      <c r="E112" s="449" t="s">
        <v>2171</v>
      </c>
      <c r="F112" s="450" t="s">
        <v>147</v>
      </c>
      <c r="G112" s="451" t="s">
        <v>2025</v>
      </c>
      <c r="H112" s="472" t="s">
        <v>2062</v>
      </c>
      <c r="I112" s="452" t="s">
        <v>72</v>
      </c>
      <c r="J112" s="453">
        <v>786028</v>
      </c>
      <c r="K112" s="471">
        <v>0</v>
      </c>
      <c r="L112" s="455">
        <v>658134</v>
      </c>
      <c r="M112" s="456">
        <v>0</v>
      </c>
      <c r="N112" s="456">
        <v>3234</v>
      </c>
      <c r="O112" s="456">
        <v>0</v>
      </c>
      <c r="P112" s="456"/>
      <c r="Q112" s="456"/>
      <c r="R112" s="456"/>
      <c r="S112" s="456"/>
      <c r="T112" s="456"/>
      <c r="U112" s="456"/>
      <c r="V112" s="456"/>
      <c r="W112" s="456"/>
      <c r="X112" s="456"/>
      <c r="Y112" s="456">
        <f t="shared" si="6"/>
        <v>3234</v>
      </c>
      <c r="Z112" s="457">
        <v>113234</v>
      </c>
      <c r="AA112" s="468" t="s">
        <v>2037</v>
      </c>
      <c r="AB112" s="459">
        <v>44222</v>
      </c>
      <c r="AC112" s="464">
        <v>44225</v>
      </c>
      <c r="AD112" s="457"/>
      <c r="AE112" s="469"/>
      <c r="AF112" s="463"/>
      <c r="AG112" s="464"/>
      <c r="AH112" s="457"/>
      <c r="AI112" s="468"/>
      <c r="AJ112" s="463"/>
      <c r="AK112" s="464"/>
      <c r="AL112" s="457"/>
      <c r="AM112" s="468"/>
      <c r="AN112" s="463"/>
      <c r="AO112" s="464"/>
      <c r="AP112" s="457"/>
      <c r="AQ112" s="468"/>
      <c r="AR112" s="463"/>
      <c r="AS112" s="464"/>
      <c r="AT112" s="37">
        <f t="shared" si="4"/>
        <v>113234</v>
      </c>
      <c r="AU112" s="465">
        <f t="shared" si="5"/>
        <v>110000</v>
      </c>
      <c r="AV112" s="466"/>
    </row>
    <row r="113" spans="2:48" s="26" customFormat="1" x14ac:dyDescent="0.2">
      <c r="B113" s="27">
        <f t="shared" si="7"/>
        <v>97</v>
      </c>
      <c r="C113" s="447" t="s">
        <v>39</v>
      </c>
      <c r="D113" s="448">
        <v>30293024</v>
      </c>
      <c r="E113" s="449" t="s">
        <v>2172</v>
      </c>
      <c r="F113" s="450" t="s">
        <v>147</v>
      </c>
      <c r="G113" s="451" t="s">
        <v>2025</v>
      </c>
      <c r="H113" s="472" t="s">
        <v>2062</v>
      </c>
      <c r="I113" s="452" t="s">
        <v>57</v>
      </c>
      <c r="J113" s="454">
        <v>816390</v>
      </c>
      <c r="K113" s="453">
        <v>438455</v>
      </c>
      <c r="L113" s="456">
        <v>0</v>
      </c>
      <c r="M113" s="456">
        <v>0</v>
      </c>
      <c r="N113" s="456">
        <v>108938</v>
      </c>
      <c r="O113" s="456">
        <v>12376</v>
      </c>
      <c r="P113" s="456"/>
      <c r="Q113" s="456"/>
      <c r="R113" s="456"/>
      <c r="S113" s="456"/>
      <c r="T113" s="456"/>
      <c r="U113" s="456"/>
      <c r="V113" s="456"/>
      <c r="W113" s="456"/>
      <c r="X113" s="456"/>
      <c r="Y113" s="456">
        <f t="shared" si="6"/>
        <v>121314</v>
      </c>
      <c r="Z113" s="457">
        <v>370548</v>
      </c>
      <c r="AA113" s="468" t="s">
        <v>2060</v>
      </c>
      <c r="AB113" s="459">
        <v>44237</v>
      </c>
      <c r="AC113" s="464">
        <v>44251</v>
      </c>
      <c r="AD113" s="457">
        <v>3200</v>
      </c>
      <c r="AE113" s="469">
        <v>15</v>
      </c>
      <c r="AF113" s="463">
        <v>44259</v>
      </c>
      <c r="AG113" s="464">
        <v>44274</v>
      </c>
      <c r="AH113" s="457"/>
      <c r="AI113" s="468"/>
      <c r="AJ113" s="463"/>
      <c r="AK113" s="464"/>
      <c r="AL113" s="457"/>
      <c r="AM113" s="468"/>
      <c r="AN113" s="463"/>
      <c r="AO113" s="464"/>
      <c r="AP113" s="457"/>
      <c r="AQ113" s="468"/>
      <c r="AR113" s="463"/>
      <c r="AS113" s="464"/>
      <c r="AT113" s="37">
        <f t="shared" si="4"/>
        <v>373748</v>
      </c>
      <c r="AU113" s="465">
        <f t="shared" si="5"/>
        <v>252434</v>
      </c>
      <c r="AV113" s="466"/>
    </row>
    <row r="114" spans="2:48" s="26" customFormat="1" x14ac:dyDescent="0.2">
      <c r="B114" s="27">
        <f t="shared" si="7"/>
        <v>98</v>
      </c>
      <c r="C114" s="447" t="s">
        <v>39</v>
      </c>
      <c r="D114" s="448">
        <v>30297872</v>
      </c>
      <c r="E114" s="449" t="s">
        <v>2173</v>
      </c>
      <c r="F114" s="450" t="s">
        <v>147</v>
      </c>
      <c r="G114" s="451" t="s">
        <v>2025</v>
      </c>
      <c r="H114" s="472" t="s">
        <v>2083</v>
      </c>
      <c r="I114" s="452" t="s">
        <v>57</v>
      </c>
      <c r="J114" s="453">
        <v>3669969</v>
      </c>
      <c r="K114" s="467">
        <v>3627347</v>
      </c>
      <c r="L114" s="456">
        <v>0</v>
      </c>
      <c r="M114" s="456">
        <v>0</v>
      </c>
      <c r="N114" s="456">
        <v>0</v>
      </c>
      <c r="O114" s="456">
        <v>0</v>
      </c>
      <c r="P114" s="456"/>
      <c r="Q114" s="456"/>
      <c r="R114" s="456"/>
      <c r="S114" s="456"/>
      <c r="T114" s="456"/>
      <c r="U114" s="456"/>
      <c r="V114" s="456"/>
      <c r="W114" s="456"/>
      <c r="X114" s="456"/>
      <c r="Y114" s="456">
        <f t="shared" si="6"/>
        <v>0</v>
      </c>
      <c r="Z114" s="457">
        <v>42622</v>
      </c>
      <c r="AA114" s="468" t="s">
        <v>2020</v>
      </c>
      <c r="AB114" s="459">
        <v>44232</v>
      </c>
      <c r="AC114" s="464">
        <v>44251</v>
      </c>
      <c r="AD114" s="457"/>
      <c r="AE114" s="469"/>
      <c r="AF114" s="463"/>
      <c r="AG114" s="464"/>
      <c r="AH114" s="457"/>
      <c r="AI114" s="468"/>
      <c r="AJ114" s="463"/>
      <c r="AK114" s="464"/>
      <c r="AL114" s="457"/>
      <c r="AM114" s="468"/>
      <c r="AN114" s="463"/>
      <c r="AO114" s="464"/>
      <c r="AP114" s="457"/>
      <c r="AQ114" s="468"/>
      <c r="AR114" s="463"/>
      <c r="AS114" s="464"/>
      <c r="AT114" s="37">
        <f t="shared" si="4"/>
        <v>42622</v>
      </c>
      <c r="AU114" s="465">
        <f t="shared" si="5"/>
        <v>42622</v>
      </c>
      <c r="AV114" s="466"/>
    </row>
    <row r="115" spans="2:48" s="26" customFormat="1" x14ac:dyDescent="0.2">
      <c r="B115" s="27">
        <f t="shared" si="7"/>
        <v>99</v>
      </c>
      <c r="C115" s="447" t="s">
        <v>39</v>
      </c>
      <c r="D115" s="448">
        <v>30301475</v>
      </c>
      <c r="E115" s="449" t="s">
        <v>2174</v>
      </c>
      <c r="F115" s="450" t="s">
        <v>193</v>
      </c>
      <c r="G115" s="451" t="s">
        <v>2025</v>
      </c>
      <c r="H115" s="472" t="s">
        <v>2153</v>
      </c>
      <c r="I115" s="452" t="s">
        <v>57</v>
      </c>
      <c r="J115" s="453">
        <v>40207</v>
      </c>
      <c r="K115" s="454">
        <v>14446</v>
      </c>
      <c r="L115" s="455">
        <v>0</v>
      </c>
      <c r="M115" s="456">
        <v>0</v>
      </c>
      <c r="N115" s="456">
        <v>0</v>
      </c>
      <c r="O115" s="456">
        <v>17834</v>
      </c>
      <c r="P115" s="456"/>
      <c r="Q115" s="456"/>
      <c r="R115" s="456"/>
      <c r="S115" s="456"/>
      <c r="T115" s="456"/>
      <c r="U115" s="456"/>
      <c r="V115" s="456"/>
      <c r="W115" s="456"/>
      <c r="X115" s="456"/>
      <c r="Y115" s="456">
        <f t="shared" si="6"/>
        <v>17834</v>
      </c>
      <c r="Z115" s="457">
        <v>25761</v>
      </c>
      <c r="AA115" s="468" t="s">
        <v>144</v>
      </c>
      <c r="AB115" s="459">
        <v>44224</v>
      </c>
      <c r="AC115" s="464">
        <v>44251</v>
      </c>
      <c r="AD115" s="457"/>
      <c r="AE115" s="469"/>
      <c r="AF115" s="463"/>
      <c r="AG115" s="464"/>
      <c r="AH115" s="457"/>
      <c r="AI115" s="468"/>
      <c r="AJ115" s="463"/>
      <c r="AK115" s="464"/>
      <c r="AL115" s="457"/>
      <c r="AM115" s="468"/>
      <c r="AN115" s="463"/>
      <c r="AO115" s="464"/>
      <c r="AP115" s="457"/>
      <c r="AQ115" s="468"/>
      <c r="AR115" s="463"/>
      <c r="AS115" s="464"/>
      <c r="AT115" s="37">
        <f t="shared" si="4"/>
        <v>25761</v>
      </c>
      <c r="AU115" s="465">
        <f t="shared" si="5"/>
        <v>7927</v>
      </c>
      <c r="AV115" s="466"/>
    </row>
    <row r="116" spans="2:48" s="26" customFormat="1" ht="22.5" x14ac:dyDescent="0.2">
      <c r="B116" s="27">
        <f t="shared" si="7"/>
        <v>100</v>
      </c>
      <c r="C116" s="447" t="s">
        <v>39</v>
      </c>
      <c r="D116" s="448">
        <v>30301572</v>
      </c>
      <c r="E116" s="449" t="s">
        <v>2175</v>
      </c>
      <c r="F116" s="450" t="s">
        <v>193</v>
      </c>
      <c r="G116" s="451" t="s">
        <v>2025</v>
      </c>
      <c r="H116" s="472" t="s">
        <v>2153</v>
      </c>
      <c r="I116" s="452" t="s">
        <v>57</v>
      </c>
      <c r="J116" s="453">
        <v>34089</v>
      </c>
      <c r="K116" s="454">
        <v>16697</v>
      </c>
      <c r="L116" s="455">
        <v>0</v>
      </c>
      <c r="M116" s="456">
        <v>0</v>
      </c>
      <c r="N116" s="456">
        <v>0</v>
      </c>
      <c r="O116" s="456">
        <v>0</v>
      </c>
      <c r="P116" s="456"/>
      <c r="Q116" s="456"/>
      <c r="R116" s="456"/>
      <c r="S116" s="456"/>
      <c r="T116" s="456"/>
      <c r="U116" s="456"/>
      <c r="V116" s="456"/>
      <c r="W116" s="456"/>
      <c r="X116" s="456"/>
      <c r="Y116" s="456">
        <f t="shared" si="6"/>
        <v>0</v>
      </c>
      <c r="Z116" s="457">
        <v>13361</v>
      </c>
      <c r="AA116" s="468" t="s">
        <v>144</v>
      </c>
      <c r="AB116" s="459">
        <v>44224</v>
      </c>
      <c r="AC116" s="464">
        <v>44251</v>
      </c>
      <c r="AD116" s="457"/>
      <c r="AE116" s="469"/>
      <c r="AF116" s="463"/>
      <c r="AG116" s="464"/>
      <c r="AH116" s="457"/>
      <c r="AI116" s="468"/>
      <c r="AJ116" s="463"/>
      <c r="AK116" s="464"/>
      <c r="AL116" s="457"/>
      <c r="AM116" s="468"/>
      <c r="AN116" s="463"/>
      <c r="AO116" s="464"/>
      <c r="AP116" s="457"/>
      <c r="AQ116" s="468"/>
      <c r="AR116" s="463"/>
      <c r="AS116" s="464"/>
      <c r="AT116" s="37">
        <f t="shared" si="4"/>
        <v>13361</v>
      </c>
      <c r="AU116" s="465">
        <f t="shared" si="5"/>
        <v>13361</v>
      </c>
      <c r="AV116" s="466"/>
    </row>
    <row r="117" spans="2:48" s="26" customFormat="1" x14ac:dyDescent="0.2">
      <c r="B117" s="27">
        <f t="shared" si="7"/>
        <v>101</v>
      </c>
      <c r="C117" s="447" t="s">
        <v>39</v>
      </c>
      <c r="D117" s="448">
        <v>30313722</v>
      </c>
      <c r="E117" s="449" t="s">
        <v>2176</v>
      </c>
      <c r="F117" s="450" t="s">
        <v>147</v>
      </c>
      <c r="G117" s="451" t="s">
        <v>2025</v>
      </c>
      <c r="H117" s="472" t="s">
        <v>2106</v>
      </c>
      <c r="I117" s="452" t="s">
        <v>57</v>
      </c>
      <c r="J117" s="453">
        <v>455772</v>
      </c>
      <c r="K117" s="467">
        <v>435444</v>
      </c>
      <c r="L117" s="456">
        <v>0</v>
      </c>
      <c r="M117" s="456">
        <v>0</v>
      </c>
      <c r="N117" s="456">
        <v>0</v>
      </c>
      <c r="O117" s="456">
        <v>0</v>
      </c>
      <c r="P117" s="456"/>
      <c r="Q117" s="456"/>
      <c r="R117" s="456"/>
      <c r="S117" s="456"/>
      <c r="T117" s="456"/>
      <c r="U117" s="456"/>
      <c r="V117" s="456"/>
      <c r="W117" s="456"/>
      <c r="X117" s="456"/>
      <c r="Y117" s="456">
        <f t="shared" si="6"/>
        <v>0</v>
      </c>
      <c r="Z117" s="457">
        <v>20328</v>
      </c>
      <c r="AA117" s="468" t="s">
        <v>2020</v>
      </c>
      <c r="AB117" s="459">
        <v>44232</v>
      </c>
      <c r="AC117" s="464">
        <v>44251</v>
      </c>
      <c r="AD117" s="457"/>
      <c r="AE117" s="469"/>
      <c r="AF117" s="463"/>
      <c r="AG117" s="464"/>
      <c r="AH117" s="457"/>
      <c r="AI117" s="468"/>
      <c r="AJ117" s="463"/>
      <c r="AK117" s="464"/>
      <c r="AL117" s="457"/>
      <c r="AM117" s="468"/>
      <c r="AN117" s="463"/>
      <c r="AO117" s="464"/>
      <c r="AP117" s="457"/>
      <c r="AQ117" s="468"/>
      <c r="AR117" s="463"/>
      <c r="AS117" s="464"/>
      <c r="AT117" s="37">
        <f t="shared" si="4"/>
        <v>20328</v>
      </c>
      <c r="AU117" s="465">
        <f t="shared" si="5"/>
        <v>20328</v>
      </c>
      <c r="AV117" s="466"/>
    </row>
    <row r="118" spans="2:48" s="26" customFormat="1" x14ac:dyDescent="0.2">
      <c r="B118" s="27">
        <f t="shared" si="7"/>
        <v>102</v>
      </c>
      <c r="C118" s="447" t="s">
        <v>39</v>
      </c>
      <c r="D118" s="448">
        <v>30330323</v>
      </c>
      <c r="E118" s="449" t="s">
        <v>2177</v>
      </c>
      <c r="F118" s="450" t="s">
        <v>147</v>
      </c>
      <c r="G118" s="451" t="s">
        <v>2025</v>
      </c>
      <c r="H118" s="472" t="s">
        <v>2113</v>
      </c>
      <c r="I118" s="452" t="s">
        <v>57</v>
      </c>
      <c r="J118" s="454">
        <v>6541208</v>
      </c>
      <c r="K118" s="453">
        <v>6428192</v>
      </c>
      <c r="L118" s="456">
        <v>2</v>
      </c>
      <c r="M118" s="456">
        <v>0</v>
      </c>
      <c r="N118" s="456">
        <v>0</v>
      </c>
      <c r="O118" s="456">
        <v>0</v>
      </c>
      <c r="P118" s="456"/>
      <c r="Q118" s="456"/>
      <c r="R118" s="456"/>
      <c r="S118" s="456"/>
      <c r="T118" s="456"/>
      <c r="U118" s="456"/>
      <c r="V118" s="456"/>
      <c r="W118" s="456"/>
      <c r="X118" s="456"/>
      <c r="Y118" s="456">
        <f t="shared" si="6"/>
        <v>0</v>
      </c>
      <c r="Z118" s="457">
        <v>104590</v>
      </c>
      <c r="AA118" s="468" t="s">
        <v>2060</v>
      </c>
      <c r="AB118" s="459">
        <v>44237</v>
      </c>
      <c r="AC118" s="464">
        <v>44251</v>
      </c>
      <c r="AD118" s="457"/>
      <c r="AE118" s="469"/>
      <c r="AF118" s="463"/>
      <c r="AG118" s="464"/>
      <c r="AH118" s="457"/>
      <c r="AI118" s="468"/>
      <c r="AJ118" s="463"/>
      <c r="AK118" s="464"/>
      <c r="AL118" s="457"/>
      <c r="AM118" s="468"/>
      <c r="AN118" s="463"/>
      <c r="AO118" s="464"/>
      <c r="AP118" s="457"/>
      <c r="AQ118" s="468"/>
      <c r="AR118" s="463"/>
      <c r="AS118" s="464"/>
      <c r="AT118" s="37">
        <f t="shared" si="4"/>
        <v>104590</v>
      </c>
      <c r="AU118" s="465">
        <f t="shared" si="5"/>
        <v>104590</v>
      </c>
      <c r="AV118" s="466"/>
    </row>
    <row r="119" spans="2:48" s="26" customFormat="1" x14ac:dyDescent="0.2">
      <c r="B119" s="27">
        <f t="shared" si="7"/>
        <v>103</v>
      </c>
      <c r="C119" s="447" t="s">
        <v>39</v>
      </c>
      <c r="D119" s="448">
        <v>30343539</v>
      </c>
      <c r="E119" s="449" t="s">
        <v>2178</v>
      </c>
      <c r="F119" s="450" t="s">
        <v>193</v>
      </c>
      <c r="G119" s="451" t="s">
        <v>2025</v>
      </c>
      <c r="H119" s="472" t="s">
        <v>2072</v>
      </c>
      <c r="I119" s="452" t="s">
        <v>57</v>
      </c>
      <c r="J119" s="454">
        <v>721082</v>
      </c>
      <c r="K119" s="453">
        <v>709982</v>
      </c>
      <c r="L119" s="456">
        <v>0</v>
      </c>
      <c r="M119" s="456">
        <v>0</v>
      </c>
      <c r="N119" s="456">
        <v>1500</v>
      </c>
      <c r="O119" s="456">
        <v>0</v>
      </c>
      <c r="P119" s="456"/>
      <c r="Q119" s="456"/>
      <c r="R119" s="456"/>
      <c r="S119" s="456"/>
      <c r="T119" s="456"/>
      <c r="U119" s="456"/>
      <c r="V119" s="456"/>
      <c r="W119" s="456"/>
      <c r="X119" s="456"/>
      <c r="Y119" s="456">
        <f t="shared" si="6"/>
        <v>1500</v>
      </c>
      <c r="Z119" s="457">
        <v>11100</v>
      </c>
      <c r="AA119" s="468" t="s">
        <v>2060</v>
      </c>
      <c r="AB119" s="459">
        <v>44237</v>
      </c>
      <c r="AC119" s="464">
        <v>44251</v>
      </c>
      <c r="AD119" s="457"/>
      <c r="AE119" s="469"/>
      <c r="AF119" s="463"/>
      <c r="AG119" s="464"/>
      <c r="AH119" s="457"/>
      <c r="AI119" s="468"/>
      <c r="AJ119" s="463"/>
      <c r="AK119" s="464"/>
      <c r="AL119" s="457"/>
      <c r="AM119" s="468"/>
      <c r="AN119" s="463"/>
      <c r="AO119" s="464"/>
      <c r="AP119" s="457"/>
      <c r="AQ119" s="468"/>
      <c r="AR119" s="463"/>
      <c r="AS119" s="464"/>
      <c r="AT119" s="37">
        <f t="shared" si="4"/>
        <v>11100</v>
      </c>
      <c r="AU119" s="465">
        <f t="shared" si="5"/>
        <v>9600</v>
      </c>
      <c r="AV119" s="466"/>
    </row>
    <row r="120" spans="2:48" s="26" customFormat="1" x14ac:dyDescent="0.2">
      <c r="B120" s="27">
        <f t="shared" si="7"/>
        <v>104</v>
      </c>
      <c r="C120" s="447" t="s">
        <v>39</v>
      </c>
      <c r="D120" s="448">
        <v>30347126</v>
      </c>
      <c r="E120" s="449" t="s">
        <v>2179</v>
      </c>
      <c r="F120" s="450" t="s">
        <v>147</v>
      </c>
      <c r="G120" s="451" t="s">
        <v>2025</v>
      </c>
      <c r="H120" s="472" t="s">
        <v>2106</v>
      </c>
      <c r="I120" s="452" t="s">
        <v>57</v>
      </c>
      <c r="J120" s="453">
        <v>460807</v>
      </c>
      <c r="K120" s="467">
        <v>357807</v>
      </c>
      <c r="L120" s="456">
        <v>0</v>
      </c>
      <c r="M120" s="456">
        <v>0</v>
      </c>
      <c r="N120" s="456">
        <v>0</v>
      </c>
      <c r="O120" s="456">
        <v>0</v>
      </c>
      <c r="P120" s="456"/>
      <c r="Q120" s="456"/>
      <c r="R120" s="456"/>
      <c r="S120" s="456"/>
      <c r="T120" s="456"/>
      <c r="U120" s="456"/>
      <c r="V120" s="456"/>
      <c r="W120" s="456"/>
      <c r="X120" s="456"/>
      <c r="Y120" s="456">
        <f t="shared" si="6"/>
        <v>0</v>
      </c>
      <c r="Z120" s="457">
        <v>85008</v>
      </c>
      <c r="AA120" s="468" t="s">
        <v>2020</v>
      </c>
      <c r="AB120" s="459">
        <v>44232</v>
      </c>
      <c r="AC120" s="464">
        <v>44251</v>
      </c>
      <c r="AD120" s="457"/>
      <c r="AE120" s="469"/>
      <c r="AF120" s="463"/>
      <c r="AG120" s="464"/>
      <c r="AH120" s="457"/>
      <c r="AI120" s="468"/>
      <c r="AJ120" s="463"/>
      <c r="AK120" s="464"/>
      <c r="AL120" s="457"/>
      <c r="AM120" s="468"/>
      <c r="AN120" s="463"/>
      <c r="AO120" s="464"/>
      <c r="AP120" s="457"/>
      <c r="AQ120" s="468"/>
      <c r="AR120" s="463"/>
      <c r="AS120" s="464"/>
      <c r="AT120" s="37">
        <f t="shared" si="4"/>
        <v>85008</v>
      </c>
      <c r="AU120" s="465">
        <f t="shared" si="5"/>
        <v>85008</v>
      </c>
      <c r="AV120" s="466"/>
    </row>
    <row r="121" spans="2:48" s="26" customFormat="1" x14ac:dyDescent="0.2">
      <c r="B121" s="27">
        <f t="shared" si="7"/>
        <v>105</v>
      </c>
      <c r="C121" s="447" t="s">
        <v>39</v>
      </c>
      <c r="D121" s="448">
        <v>30348575</v>
      </c>
      <c r="E121" s="449" t="s">
        <v>2180</v>
      </c>
      <c r="F121" s="450" t="s">
        <v>147</v>
      </c>
      <c r="G121" s="451" t="s">
        <v>2025</v>
      </c>
      <c r="H121" s="472" t="s">
        <v>2072</v>
      </c>
      <c r="I121" s="452" t="s">
        <v>57</v>
      </c>
      <c r="J121" s="453">
        <v>1030232</v>
      </c>
      <c r="K121" s="467">
        <v>2709</v>
      </c>
      <c r="L121" s="456">
        <v>512812</v>
      </c>
      <c r="M121" s="456">
        <v>0</v>
      </c>
      <c r="N121" s="456">
        <v>3000</v>
      </c>
      <c r="O121" s="456">
        <v>78509</v>
      </c>
      <c r="P121" s="456"/>
      <c r="Q121" s="456"/>
      <c r="R121" s="456"/>
      <c r="S121" s="456"/>
      <c r="T121" s="456"/>
      <c r="U121" s="456"/>
      <c r="V121" s="456"/>
      <c r="W121" s="456"/>
      <c r="X121" s="456"/>
      <c r="Y121" s="456">
        <f t="shared" si="6"/>
        <v>81509</v>
      </c>
      <c r="Z121" s="457">
        <v>512002</v>
      </c>
      <c r="AA121" s="468" t="s">
        <v>2020</v>
      </c>
      <c r="AB121" s="459">
        <v>44232</v>
      </c>
      <c r="AC121" s="464">
        <v>44251</v>
      </c>
      <c r="AD121" s="457"/>
      <c r="AE121" s="469"/>
      <c r="AF121" s="463"/>
      <c r="AG121" s="464"/>
      <c r="AH121" s="457"/>
      <c r="AI121" s="468"/>
      <c r="AJ121" s="463"/>
      <c r="AK121" s="464"/>
      <c r="AL121" s="457"/>
      <c r="AM121" s="468"/>
      <c r="AN121" s="463"/>
      <c r="AO121" s="464"/>
      <c r="AP121" s="457"/>
      <c r="AQ121" s="468"/>
      <c r="AR121" s="463"/>
      <c r="AS121" s="464"/>
      <c r="AT121" s="37">
        <f t="shared" si="4"/>
        <v>512002</v>
      </c>
      <c r="AU121" s="465">
        <f t="shared" si="5"/>
        <v>430493</v>
      </c>
      <c r="AV121" s="466"/>
    </row>
    <row r="122" spans="2:48" s="26" customFormat="1" x14ac:dyDescent="0.2">
      <c r="B122" s="27">
        <f t="shared" si="7"/>
        <v>106</v>
      </c>
      <c r="C122" s="447" t="s">
        <v>39</v>
      </c>
      <c r="D122" s="448">
        <v>30351291</v>
      </c>
      <c r="E122" s="449" t="s">
        <v>2181</v>
      </c>
      <c r="F122" s="450" t="s">
        <v>147</v>
      </c>
      <c r="G122" s="451" t="s">
        <v>2025</v>
      </c>
      <c r="H122" s="472" t="s">
        <v>2101</v>
      </c>
      <c r="I122" s="452" t="s">
        <v>57</v>
      </c>
      <c r="J122" s="454">
        <v>290365</v>
      </c>
      <c r="K122" s="453">
        <v>267082</v>
      </c>
      <c r="L122" s="456">
        <v>3022</v>
      </c>
      <c r="M122" s="456">
        <v>0</v>
      </c>
      <c r="N122" s="456">
        <v>0</v>
      </c>
      <c r="O122" s="456">
        <v>0</v>
      </c>
      <c r="P122" s="456"/>
      <c r="Q122" s="456"/>
      <c r="R122" s="456"/>
      <c r="S122" s="456"/>
      <c r="T122" s="456"/>
      <c r="U122" s="456"/>
      <c r="V122" s="456"/>
      <c r="W122" s="456"/>
      <c r="X122" s="456"/>
      <c r="Y122" s="456">
        <f t="shared" si="6"/>
        <v>0</v>
      </c>
      <c r="Z122" s="457">
        <v>20261</v>
      </c>
      <c r="AA122" s="468" t="s">
        <v>2060</v>
      </c>
      <c r="AB122" s="459">
        <v>44237</v>
      </c>
      <c r="AC122" s="464">
        <v>44251</v>
      </c>
      <c r="AD122" s="457"/>
      <c r="AE122" s="469"/>
      <c r="AF122" s="463"/>
      <c r="AG122" s="464"/>
      <c r="AH122" s="457"/>
      <c r="AI122" s="468"/>
      <c r="AJ122" s="463"/>
      <c r="AK122" s="464"/>
      <c r="AL122" s="457"/>
      <c r="AM122" s="468"/>
      <c r="AN122" s="463"/>
      <c r="AO122" s="464"/>
      <c r="AP122" s="457"/>
      <c r="AQ122" s="468"/>
      <c r="AR122" s="463"/>
      <c r="AS122" s="464"/>
      <c r="AT122" s="37">
        <f t="shared" si="4"/>
        <v>20261</v>
      </c>
      <c r="AU122" s="465">
        <f t="shared" si="5"/>
        <v>20261</v>
      </c>
      <c r="AV122" s="466"/>
    </row>
    <row r="123" spans="2:48" s="26" customFormat="1" x14ac:dyDescent="0.2">
      <c r="B123" s="27">
        <f t="shared" si="7"/>
        <v>107</v>
      </c>
      <c r="C123" s="447" t="s">
        <v>39</v>
      </c>
      <c r="D123" s="448">
        <v>30352173</v>
      </c>
      <c r="E123" s="449" t="s">
        <v>2182</v>
      </c>
      <c r="F123" s="450" t="s">
        <v>147</v>
      </c>
      <c r="G123" s="451" t="s">
        <v>2025</v>
      </c>
      <c r="H123" s="472" t="s">
        <v>2062</v>
      </c>
      <c r="I123" s="452" t="s">
        <v>57</v>
      </c>
      <c r="J123" s="453">
        <v>5323204</v>
      </c>
      <c r="K123" s="471">
        <v>50896</v>
      </c>
      <c r="L123" s="455">
        <v>4854256</v>
      </c>
      <c r="M123" s="456">
        <v>0</v>
      </c>
      <c r="N123" s="456">
        <v>4972</v>
      </c>
      <c r="O123" s="456">
        <v>0</v>
      </c>
      <c r="P123" s="456"/>
      <c r="Q123" s="456"/>
      <c r="R123" s="456"/>
      <c r="S123" s="456"/>
      <c r="T123" s="456"/>
      <c r="U123" s="456"/>
      <c r="V123" s="456"/>
      <c r="W123" s="456"/>
      <c r="X123" s="456"/>
      <c r="Y123" s="456">
        <f t="shared" si="6"/>
        <v>4972</v>
      </c>
      <c r="Z123" s="457">
        <v>414972</v>
      </c>
      <c r="AA123" s="468" t="s">
        <v>2037</v>
      </c>
      <c r="AB123" s="459">
        <v>44222</v>
      </c>
      <c r="AC123" s="464">
        <v>44225</v>
      </c>
      <c r="AD123" s="457"/>
      <c r="AE123" s="469"/>
      <c r="AF123" s="463"/>
      <c r="AG123" s="464"/>
      <c r="AH123" s="457"/>
      <c r="AI123" s="468"/>
      <c r="AJ123" s="463"/>
      <c r="AK123" s="464"/>
      <c r="AL123" s="457"/>
      <c r="AM123" s="468"/>
      <c r="AN123" s="463"/>
      <c r="AO123" s="464"/>
      <c r="AP123" s="457"/>
      <c r="AQ123" s="468"/>
      <c r="AR123" s="463"/>
      <c r="AS123" s="464"/>
      <c r="AT123" s="37">
        <f t="shared" si="4"/>
        <v>414972</v>
      </c>
      <c r="AU123" s="465">
        <f t="shared" si="5"/>
        <v>410000</v>
      </c>
      <c r="AV123" s="466"/>
    </row>
    <row r="124" spans="2:48" s="26" customFormat="1" x14ac:dyDescent="0.2">
      <c r="B124" s="27">
        <f t="shared" si="7"/>
        <v>108</v>
      </c>
      <c r="C124" s="447" t="s">
        <v>39</v>
      </c>
      <c r="D124" s="448">
        <v>30356131</v>
      </c>
      <c r="E124" s="449" t="s">
        <v>2183</v>
      </c>
      <c r="F124" s="450" t="s">
        <v>147</v>
      </c>
      <c r="G124" s="451" t="s">
        <v>2025</v>
      </c>
      <c r="H124" s="472" t="s">
        <v>2034</v>
      </c>
      <c r="I124" s="452" t="s">
        <v>72</v>
      </c>
      <c r="J124" s="453">
        <v>1326249</v>
      </c>
      <c r="K124" s="454"/>
      <c r="L124" s="455">
        <v>29184</v>
      </c>
      <c r="M124" s="456">
        <v>0</v>
      </c>
      <c r="N124" s="456">
        <v>0</v>
      </c>
      <c r="O124" s="456">
        <v>0</v>
      </c>
      <c r="P124" s="456"/>
      <c r="Q124" s="456"/>
      <c r="R124" s="456"/>
      <c r="S124" s="456"/>
      <c r="T124" s="456"/>
      <c r="U124" s="456"/>
      <c r="V124" s="456"/>
      <c r="W124" s="456"/>
      <c r="X124" s="456"/>
      <c r="Y124" s="456">
        <f t="shared" si="6"/>
        <v>0</v>
      </c>
      <c r="Z124" s="457">
        <v>770000</v>
      </c>
      <c r="AA124" s="468" t="s">
        <v>144</v>
      </c>
      <c r="AB124" s="459">
        <v>44224</v>
      </c>
      <c r="AC124" s="464">
        <v>44251</v>
      </c>
      <c r="AD124" s="457"/>
      <c r="AE124" s="469"/>
      <c r="AF124" s="463"/>
      <c r="AG124" s="464"/>
      <c r="AH124" s="457"/>
      <c r="AI124" s="468"/>
      <c r="AJ124" s="463"/>
      <c r="AK124" s="464"/>
      <c r="AL124" s="457"/>
      <c r="AM124" s="468"/>
      <c r="AN124" s="463"/>
      <c r="AO124" s="464"/>
      <c r="AP124" s="457"/>
      <c r="AQ124" s="468"/>
      <c r="AR124" s="463"/>
      <c r="AS124" s="464"/>
      <c r="AT124" s="37">
        <f t="shared" si="4"/>
        <v>770000</v>
      </c>
      <c r="AU124" s="465">
        <f t="shared" si="5"/>
        <v>770000</v>
      </c>
      <c r="AV124" s="466"/>
    </row>
    <row r="125" spans="2:48" s="26" customFormat="1" x14ac:dyDescent="0.2">
      <c r="B125" s="27">
        <f t="shared" si="7"/>
        <v>109</v>
      </c>
      <c r="C125" s="447" t="s">
        <v>39</v>
      </c>
      <c r="D125" s="448">
        <v>30360375</v>
      </c>
      <c r="E125" s="449" t="s">
        <v>2184</v>
      </c>
      <c r="F125" s="450" t="s">
        <v>147</v>
      </c>
      <c r="G125" s="451" t="s">
        <v>2025</v>
      </c>
      <c r="H125" s="472" t="s">
        <v>2185</v>
      </c>
      <c r="I125" s="452" t="s">
        <v>72</v>
      </c>
      <c r="J125" s="453">
        <v>827323</v>
      </c>
      <c r="K125" s="471">
        <v>0</v>
      </c>
      <c r="L125" s="455">
        <v>410692</v>
      </c>
      <c r="M125" s="456">
        <v>0</v>
      </c>
      <c r="N125" s="456">
        <v>0</v>
      </c>
      <c r="O125" s="456">
        <v>4500</v>
      </c>
      <c r="P125" s="456"/>
      <c r="Q125" s="456"/>
      <c r="R125" s="456"/>
      <c r="S125" s="456"/>
      <c r="T125" s="456"/>
      <c r="U125" s="456"/>
      <c r="V125" s="456"/>
      <c r="W125" s="456"/>
      <c r="X125" s="456"/>
      <c r="Y125" s="456">
        <f t="shared" si="6"/>
        <v>4500</v>
      </c>
      <c r="Z125" s="457">
        <v>416631</v>
      </c>
      <c r="AA125" s="468" t="s">
        <v>2037</v>
      </c>
      <c r="AB125" s="459">
        <v>44222</v>
      </c>
      <c r="AC125" s="464">
        <v>44225</v>
      </c>
      <c r="AD125" s="457"/>
      <c r="AE125" s="469"/>
      <c r="AF125" s="463"/>
      <c r="AG125" s="464"/>
      <c r="AH125" s="457"/>
      <c r="AI125" s="468"/>
      <c r="AJ125" s="463"/>
      <c r="AK125" s="464"/>
      <c r="AL125" s="457"/>
      <c r="AM125" s="468"/>
      <c r="AN125" s="463"/>
      <c r="AO125" s="464"/>
      <c r="AP125" s="457"/>
      <c r="AQ125" s="468"/>
      <c r="AR125" s="463"/>
      <c r="AS125" s="464"/>
      <c r="AT125" s="37">
        <f t="shared" si="4"/>
        <v>416631</v>
      </c>
      <c r="AU125" s="465">
        <f t="shared" si="5"/>
        <v>412131</v>
      </c>
      <c r="AV125" s="466"/>
    </row>
    <row r="126" spans="2:48" s="26" customFormat="1" x14ac:dyDescent="0.2">
      <c r="B126" s="27">
        <f t="shared" si="7"/>
        <v>110</v>
      </c>
      <c r="C126" s="447" t="s">
        <v>39</v>
      </c>
      <c r="D126" s="448">
        <v>30360378</v>
      </c>
      <c r="E126" s="449" t="s">
        <v>2186</v>
      </c>
      <c r="F126" s="450" t="s">
        <v>147</v>
      </c>
      <c r="G126" s="451" t="s">
        <v>2025</v>
      </c>
      <c r="H126" s="472" t="s">
        <v>2185</v>
      </c>
      <c r="I126" s="452" t="s">
        <v>72</v>
      </c>
      <c r="J126" s="453">
        <v>804751</v>
      </c>
      <c r="K126" s="471">
        <v>0</v>
      </c>
      <c r="L126" s="455">
        <v>390568</v>
      </c>
      <c r="M126" s="456">
        <v>0</v>
      </c>
      <c r="N126" s="456">
        <v>0</v>
      </c>
      <c r="O126" s="456">
        <v>6831</v>
      </c>
      <c r="P126" s="456"/>
      <c r="Q126" s="456"/>
      <c r="R126" s="456"/>
      <c r="S126" s="456"/>
      <c r="T126" s="456"/>
      <c r="U126" s="456"/>
      <c r="V126" s="456"/>
      <c r="W126" s="456"/>
      <c r="X126" s="456"/>
      <c r="Y126" s="456">
        <f t="shared" si="6"/>
        <v>6831</v>
      </c>
      <c r="Z126" s="457">
        <v>414183</v>
      </c>
      <c r="AA126" s="468" t="s">
        <v>2037</v>
      </c>
      <c r="AB126" s="459">
        <v>44222</v>
      </c>
      <c r="AC126" s="464">
        <v>44225</v>
      </c>
      <c r="AD126" s="457"/>
      <c r="AE126" s="469"/>
      <c r="AF126" s="463"/>
      <c r="AG126" s="464"/>
      <c r="AH126" s="457"/>
      <c r="AI126" s="468"/>
      <c r="AJ126" s="463"/>
      <c r="AK126" s="464"/>
      <c r="AL126" s="457"/>
      <c r="AM126" s="468"/>
      <c r="AN126" s="463"/>
      <c r="AO126" s="464"/>
      <c r="AP126" s="457"/>
      <c r="AQ126" s="468"/>
      <c r="AR126" s="463"/>
      <c r="AS126" s="464"/>
      <c r="AT126" s="37">
        <f t="shared" si="4"/>
        <v>414183</v>
      </c>
      <c r="AU126" s="465">
        <f t="shared" si="5"/>
        <v>407352</v>
      </c>
      <c r="AV126" s="466"/>
    </row>
    <row r="127" spans="2:48" s="26" customFormat="1" x14ac:dyDescent="0.2">
      <c r="B127" s="27">
        <f t="shared" si="7"/>
        <v>111</v>
      </c>
      <c r="C127" s="447" t="s">
        <v>39</v>
      </c>
      <c r="D127" s="448">
        <v>30361046</v>
      </c>
      <c r="E127" s="449" t="s">
        <v>2187</v>
      </c>
      <c r="F127" s="450" t="s">
        <v>147</v>
      </c>
      <c r="G127" s="451" t="s">
        <v>2025</v>
      </c>
      <c r="H127" s="472" t="s">
        <v>2062</v>
      </c>
      <c r="I127" s="452" t="s">
        <v>57</v>
      </c>
      <c r="J127" s="454">
        <v>3228816</v>
      </c>
      <c r="K127" s="453">
        <v>199657</v>
      </c>
      <c r="L127" s="456">
        <v>949733</v>
      </c>
      <c r="M127" s="456">
        <v>0</v>
      </c>
      <c r="N127" s="456">
        <v>250214</v>
      </c>
      <c r="O127" s="456">
        <v>72462</v>
      </c>
      <c r="P127" s="456"/>
      <c r="Q127" s="456"/>
      <c r="R127" s="456"/>
      <c r="S127" s="456"/>
      <c r="T127" s="456"/>
      <c r="U127" s="456"/>
      <c r="V127" s="456"/>
      <c r="W127" s="456"/>
      <c r="X127" s="456"/>
      <c r="Y127" s="456">
        <f t="shared" si="6"/>
        <v>322676</v>
      </c>
      <c r="Z127" s="457">
        <v>2060523</v>
      </c>
      <c r="AA127" s="468" t="s">
        <v>2060</v>
      </c>
      <c r="AB127" s="459">
        <v>44237</v>
      </c>
      <c r="AC127" s="464">
        <v>44251</v>
      </c>
      <c r="AD127" s="457"/>
      <c r="AE127" s="469"/>
      <c r="AF127" s="463"/>
      <c r="AG127" s="464"/>
      <c r="AH127" s="457"/>
      <c r="AI127" s="468"/>
      <c r="AJ127" s="463"/>
      <c r="AK127" s="464"/>
      <c r="AL127" s="457"/>
      <c r="AM127" s="468"/>
      <c r="AN127" s="463"/>
      <c r="AO127" s="464"/>
      <c r="AP127" s="457"/>
      <c r="AQ127" s="468"/>
      <c r="AR127" s="463"/>
      <c r="AS127" s="464"/>
      <c r="AT127" s="37">
        <f t="shared" si="4"/>
        <v>2060523</v>
      </c>
      <c r="AU127" s="465">
        <f t="shared" si="5"/>
        <v>1737847</v>
      </c>
      <c r="AV127" s="466"/>
    </row>
    <row r="128" spans="2:48" s="26" customFormat="1" x14ac:dyDescent="0.2">
      <c r="B128" s="27">
        <f t="shared" si="7"/>
        <v>112</v>
      </c>
      <c r="C128" s="447" t="s">
        <v>39</v>
      </c>
      <c r="D128" s="448">
        <v>30363280</v>
      </c>
      <c r="E128" s="449" t="s">
        <v>2188</v>
      </c>
      <c r="F128" s="450" t="s">
        <v>147</v>
      </c>
      <c r="G128" s="451" t="s">
        <v>2025</v>
      </c>
      <c r="H128" s="472" t="s">
        <v>2044</v>
      </c>
      <c r="I128" s="452" t="s">
        <v>72</v>
      </c>
      <c r="J128" s="453">
        <v>694745</v>
      </c>
      <c r="K128" s="471">
        <v>0</v>
      </c>
      <c r="L128" s="455">
        <v>576676</v>
      </c>
      <c r="M128" s="456">
        <v>0</v>
      </c>
      <c r="N128" s="456">
        <v>0</v>
      </c>
      <c r="O128" s="456">
        <v>0</v>
      </c>
      <c r="P128" s="456"/>
      <c r="Q128" s="456"/>
      <c r="R128" s="456"/>
      <c r="S128" s="456"/>
      <c r="T128" s="456"/>
      <c r="U128" s="456"/>
      <c r="V128" s="456"/>
      <c r="W128" s="456"/>
      <c r="X128" s="456"/>
      <c r="Y128" s="456">
        <f t="shared" si="6"/>
        <v>0</v>
      </c>
      <c r="Z128" s="457">
        <v>110002</v>
      </c>
      <c r="AA128" s="468" t="s">
        <v>2037</v>
      </c>
      <c r="AB128" s="459">
        <v>44222</v>
      </c>
      <c r="AC128" s="464">
        <v>44225</v>
      </c>
      <c r="AD128" s="457"/>
      <c r="AE128" s="469"/>
      <c r="AF128" s="463"/>
      <c r="AG128" s="464"/>
      <c r="AH128" s="457"/>
      <c r="AI128" s="468"/>
      <c r="AJ128" s="463"/>
      <c r="AK128" s="464"/>
      <c r="AL128" s="457"/>
      <c r="AM128" s="468"/>
      <c r="AN128" s="463"/>
      <c r="AO128" s="464"/>
      <c r="AP128" s="457"/>
      <c r="AQ128" s="468"/>
      <c r="AR128" s="463"/>
      <c r="AS128" s="464"/>
      <c r="AT128" s="37">
        <f t="shared" si="4"/>
        <v>110002</v>
      </c>
      <c r="AU128" s="465">
        <f t="shared" si="5"/>
        <v>110002</v>
      </c>
      <c r="AV128" s="466"/>
    </row>
    <row r="129" spans="2:48" s="26" customFormat="1" x14ac:dyDescent="0.2">
      <c r="B129" s="27">
        <f t="shared" si="7"/>
        <v>113</v>
      </c>
      <c r="C129" s="447" t="s">
        <v>39</v>
      </c>
      <c r="D129" s="448">
        <v>30363973</v>
      </c>
      <c r="E129" s="449" t="s">
        <v>2189</v>
      </c>
      <c r="F129" s="450" t="s">
        <v>147</v>
      </c>
      <c r="G129" s="451" t="s">
        <v>2025</v>
      </c>
      <c r="H129" s="472" t="s">
        <v>2040</v>
      </c>
      <c r="I129" s="452" t="s">
        <v>57</v>
      </c>
      <c r="J129" s="453">
        <v>1759471</v>
      </c>
      <c r="K129" s="454">
        <v>168712</v>
      </c>
      <c r="L129" s="455">
        <v>2</v>
      </c>
      <c r="M129" s="456">
        <v>0</v>
      </c>
      <c r="N129" s="456">
        <v>118952</v>
      </c>
      <c r="O129" s="456">
        <v>358364</v>
      </c>
      <c r="P129" s="456"/>
      <c r="Q129" s="456"/>
      <c r="R129" s="456"/>
      <c r="S129" s="456"/>
      <c r="T129" s="456"/>
      <c r="U129" s="456"/>
      <c r="V129" s="456"/>
      <c r="W129" s="456"/>
      <c r="X129" s="456"/>
      <c r="Y129" s="456">
        <f t="shared" si="6"/>
        <v>477316</v>
      </c>
      <c r="Z129" s="457">
        <v>1590757</v>
      </c>
      <c r="AA129" s="468" t="s">
        <v>144</v>
      </c>
      <c r="AB129" s="459">
        <v>44224</v>
      </c>
      <c r="AC129" s="464">
        <v>44251</v>
      </c>
      <c r="AD129" s="457"/>
      <c r="AE129" s="469"/>
      <c r="AF129" s="463"/>
      <c r="AG129" s="464"/>
      <c r="AH129" s="457"/>
      <c r="AI129" s="468"/>
      <c r="AJ129" s="463"/>
      <c r="AK129" s="464"/>
      <c r="AL129" s="457"/>
      <c r="AM129" s="468"/>
      <c r="AN129" s="463"/>
      <c r="AO129" s="464"/>
      <c r="AP129" s="457"/>
      <c r="AQ129" s="468"/>
      <c r="AR129" s="463"/>
      <c r="AS129" s="464"/>
      <c r="AT129" s="37">
        <f t="shared" si="4"/>
        <v>1590757</v>
      </c>
      <c r="AU129" s="465">
        <f t="shared" si="5"/>
        <v>1113441</v>
      </c>
      <c r="AV129" s="466"/>
    </row>
    <row r="130" spans="2:48" s="26" customFormat="1" x14ac:dyDescent="0.2">
      <c r="B130" s="27">
        <f t="shared" si="7"/>
        <v>114</v>
      </c>
      <c r="C130" s="447" t="s">
        <v>39</v>
      </c>
      <c r="D130" s="448">
        <v>30367427</v>
      </c>
      <c r="E130" s="449" t="s">
        <v>2190</v>
      </c>
      <c r="F130" s="450" t="s">
        <v>193</v>
      </c>
      <c r="G130" s="451" t="s">
        <v>2025</v>
      </c>
      <c r="H130" s="472" t="s">
        <v>2080</v>
      </c>
      <c r="I130" s="452" t="s">
        <v>57</v>
      </c>
      <c r="J130" s="453">
        <v>53685</v>
      </c>
      <c r="K130" s="454">
        <v>26292</v>
      </c>
      <c r="L130" s="455">
        <v>1101</v>
      </c>
      <c r="M130" s="456">
        <v>0</v>
      </c>
      <c r="N130" s="456">
        <v>0</v>
      </c>
      <c r="O130" s="456">
        <v>0</v>
      </c>
      <c r="P130" s="456"/>
      <c r="Q130" s="456"/>
      <c r="R130" s="456"/>
      <c r="S130" s="456"/>
      <c r="T130" s="456"/>
      <c r="U130" s="456"/>
      <c r="V130" s="456"/>
      <c r="W130" s="456"/>
      <c r="X130" s="456"/>
      <c r="Y130" s="456">
        <f t="shared" si="6"/>
        <v>0</v>
      </c>
      <c r="Z130" s="457">
        <v>21038</v>
      </c>
      <c r="AA130" s="468" t="s">
        <v>144</v>
      </c>
      <c r="AB130" s="459">
        <v>44224</v>
      </c>
      <c r="AC130" s="464">
        <v>44251</v>
      </c>
      <c r="AD130" s="457"/>
      <c r="AE130" s="469"/>
      <c r="AF130" s="463"/>
      <c r="AG130" s="464"/>
      <c r="AH130" s="457"/>
      <c r="AI130" s="468"/>
      <c r="AJ130" s="463"/>
      <c r="AK130" s="464"/>
      <c r="AL130" s="457"/>
      <c r="AM130" s="468"/>
      <c r="AN130" s="463"/>
      <c r="AO130" s="464"/>
      <c r="AP130" s="457"/>
      <c r="AQ130" s="468"/>
      <c r="AR130" s="463"/>
      <c r="AS130" s="464"/>
      <c r="AT130" s="37">
        <f t="shared" si="4"/>
        <v>21038</v>
      </c>
      <c r="AU130" s="465">
        <f t="shared" si="5"/>
        <v>21038</v>
      </c>
      <c r="AV130" s="466"/>
    </row>
    <row r="131" spans="2:48" s="26" customFormat="1" x14ac:dyDescent="0.2">
      <c r="B131" s="27">
        <f t="shared" si="7"/>
        <v>115</v>
      </c>
      <c r="C131" s="447" t="s">
        <v>39</v>
      </c>
      <c r="D131" s="448">
        <v>30369628</v>
      </c>
      <c r="E131" s="449" t="s">
        <v>2191</v>
      </c>
      <c r="F131" s="450" t="s">
        <v>2155</v>
      </c>
      <c r="G131" s="451" t="s">
        <v>2025</v>
      </c>
      <c r="H131" s="472" t="s">
        <v>2046</v>
      </c>
      <c r="I131" s="452" t="s">
        <v>72</v>
      </c>
      <c r="J131" s="453">
        <v>80191</v>
      </c>
      <c r="K131" s="454">
        <v>0</v>
      </c>
      <c r="L131" s="455">
        <v>3752</v>
      </c>
      <c r="M131" s="456">
        <v>0</v>
      </c>
      <c r="N131" s="456">
        <v>0</v>
      </c>
      <c r="O131" s="456">
        <v>0</v>
      </c>
      <c r="P131" s="456"/>
      <c r="Q131" s="456"/>
      <c r="R131" s="456"/>
      <c r="S131" s="456"/>
      <c r="T131" s="456"/>
      <c r="U131" s="456"/>
      <c r="V131" s="456"/>
      <c r="W131" s="456"/>
      <c r="X131" s="456"/>
      <c r="Y131" s="456">
        <f t="shared" si="6"/>
        <v>0</v>
      </c>
      <c r="Z131" s="457">
        <v>39214</v>
      </c>
      <c r="AA131" s="468" t="s">
        <v>144</v>
      </c>
      <c r="AB131" s="459">
        <v>44224</v>
      </c>
      <c r="AC131" s="464">
        <v>44251</v>
      </c>
      <c r="AD131" s="457"/>
      <c r="AE131" s="469"/>
      <c r="AF131" s="463"/>
      <c r="AG131" s="464"/>
      <c r="AH131" s="457"/>
      <c r="AI131" s="468"/>
      <c r="AJ131" s="463"/>
      <c r="AK131" s="464"/>
      <c r="AL131" s="457"/>
      <c r="AM131" s="468"/>
      <c r="AN131" s="463"/>
      <c r="AO131" s="464"/>
      <c r="AP131" s="457"/>
      <c r="AQ131" s="468"/>
      <c r="AR131" s="463"/>
      <c r="AS131" s="464"/>
      <c r="AT131" s="37">
        <f t="shared" si="4"/>
        <v>39214</v>
      </c>
      <c r="AU131" s="465">
        <f t="shared" si="5"/>
        <v>39214</v>
      </c>
      <c r="AV131" s="466"/>
    </row>
    <row r="132" spans="2:48" s="26" customFormat="1" x14ac:dyDescent="0.2">
      <c r="B132" s="27">
        <f t="shared" si="7"/>
        <v>116</v>
      </c>
      <c r="C132" s="447" t="s">
        <v>39</v>
      </c>
      <c r="D132" s="448">
        <v>30377222</v>
      </c>
      <c r="E132" s="449" t="s">
        <v>2192</v>
      </c>
      <c r="F132" s="450" t="s">
        <v>147</v>
      </c>
      <c r="G132" s="451" t="s">
        <v>2025</v>
      </c>
      <c r="H132" s="472" t="s">
        <v>2108</v>
      </c>
      <c r="I132" s="452" t="s">
        <v>72</v>
      </c>
      <c r="J132" s="453">
        <v>674526</v>
      </c>
      <c r="K132" s="471">
        <v>0</v>
      </c>
      <c r="L132" s="480">
        <v>608762</v>
      </c>
      <c r="M132" s="456">
        <v>0</v>
      </c>
      <c r="N132" s="456">
        <v>0</v>
      </c>
      <c r="O132" s="456">
        <v>0</v>
      </c>
      <c r="P132" s="456"/>
      <c r="Q132" s="456"/>
      <c r="R132" s="456"/>
      <c r="S132" s="456"/>
      <c r="T132" s="456"/>
      <c r="U132" s="456"/>
      <c r="V132" s="456"/>
      <c r="W132" s="456"/>
      <c r="X132" s="456"/>
      <c r="Y132" s="456">
        <f t="shared" si="6"/>
        <v>0</v>
      </c>
      <c r="Z132" s="457">
        <v>58002</v>
      </c>
      <c r="AA132" s="468" t="s">
        <v>2037</v>
      </c>
      <c r="AB132" s="459">
        <v>44222</v>
      </c>
      <c r="AC132" s="464">
        <v>44225</v>
      </c>
      <c r="AD132" s="457"/>
      <c r="AE132" s="469"/>
      <c r="AF132" s="463"/>
      <c r="AG132" s="464"/>
      <c r="AH132" s="457"/>
      <c r="AI132" s="468"/>
      <c r="AJ132" s="463"/>
      <c r="AK132" s="464"/>
      <c r="AL132" s="457"/>
      <c r="AM132" s="468"/>
      <c r="AN132" s="463"/>
      <c r="AO132" s="464"/>
      <c r="AP132" s="457"/>
      <c r="AQ132" s="468"/>
      <c r="AR132" s="463"/>
      <c r="AS132" s="464"/>
      <c r="AT132" s="37">
        <f t="shared" si="4"/>
        <v>58002</v>
      </c>
      <c r="AU132" s="465">
        <f t="shared" si="5"/>
        <v>58002</v>
      </c>
      <c r="AV132" s="466"/>
    </row>
    <row r="133" spans="2:48" s="26" customFormat="1" ht="22.5" x14ac:dyDescent="0.2">
      <c r="B133" s="27">
        <f t="shared" si="7"/>
        <v>117</v>
      </c>
      <c r="C133" s="447" t="s">
        <v>39</v>
      </c>
      <c r="D133" s="448">
        <v>30379323</v>
      </c>
      <c r="E133" s="449" t="s">
        <v>2193</v>
      </c>
      <c r="F133" s="450" t="s">
        <v>193</v>
      </c>
      <c r="G133" s="451" t="s">
        <v>2025</v>
      </c>
      <c r="H133" s="472" t="s">
        <v>2153</v>
      </c>
      <c r="I133" s="452" t="s">
        <v>57</v>
      </c>
      <c r="J133" s="453">
        <v>101295</v>
      </c>
      <c r="K133" s="454">
        <v>0</v>
      </c>
      <c r="L133" s="455">
        <v>1</v>
      </c>
      <c r="M133" s="456">
        <v>0</v>
      </c>
      <c r="N133" s="456">
        <v>0</v>
      </c>
      <c r="O133" s="456">
        <v>0</v>
      </c>
      <c r="P133" s="456"/>
      <c r="Q133" s="456"/>
      <c r="R133" s="456"/>
      <c r="S133" s="456"/>
      <c r="T133" s="456"/>
      <c r="U133" s="456"/>
      <c r="V133" s="456"/>
      <c r="W133" s="456"/>
      <c r="X133" s="456"/>
      <c r="Y133" s="456">
        <f t="shared" si="6"/>
        <v>0</v>
      </c>
      <c r="Z133" s="457">
        <v>90136</v>
      </c>
      <c r="AA133" s="468" t="s">
        <v>144</v>
      </c>
      <c r="AB133" s="459">
        <v>44224</v>
      </c>
      <c r="AC133" s="464">
        <v>44251</v>
      </c>
      <c r="AD133" s="457"/>
      <c r="AE133" s="469"/>
      <c r="AF133" s="463"/>
      <c r="AG133" s="464"/>
      <c r="AH133" s="457"/>
      <c r="AI133" s="468"/>
      <c r="AJ133" s="463"/>
      <c r="AK133" s="464"/>
      <c r="AL133" s="457"/>
      <c r="AM133" s="468"/>
      <c r="AN133" s="463"/>
      <c r="AO133" s="464"/>
      <c r="AP133" s="457"/>
      <c r="AQ133" s="468"/>
      <c r="AR133" s="463"/>
      <c r="AS133" s="464"/>
      <c r="AT133" s="37">
        <f t="shared" si="4"/>
        <v>90136</v>
      </c>
      <c r="AU133" s="465">
        <f t="shared" si="5"/>
        <v>90136</v>
      </c>
      <c r="AV133" s="466"/>
    </row>
    <row r="134" spans="2:48" s="26" customFormat="1" x14ac:dyDescent="0.2">
      <c r="B134" s="27">
        <f t="shared" si="7"/>
        <v>118</v>
      </c>
      <c r="C134" s="447" t="s">
        <v>39</v>
      </c>
      <c r="D134" s="448">
        <v>30384722</v>
      </c>
      <c r="E134" s="449" t="s">
        <v>2194</v>
      </c>
      <c r="F134" s="450" t="s">
        <v>147</v>
      </c>
      <c r="G134" s="451" t="s">
        <v>2025</v>
      </c>
      <c r="H134" s="472" t="s">
        <v>2070</v>
      </c>
      <c r="I134" s="452" t="s">
        <v>72</v>
      </c>
      <c r="J134" s="453">
        <v>5394037</v>
      </c>
      <c r="K134" s="471">
        <v>0</v>
      </c>
      <c r="L134" s="455">
        <v>626074</v>
      </c>
      <c r="M134" s="456">
        <v>0</v>
      </c>
      <c r="N134" s="456">
        <v>0</v>
      </c>
      <c r="O134" s="456">
        <v>0</v>
      </c>
      <c r="P134" s="456"/>
      <c r="Q134" s="456"/>
      <c r="R134" s="456"/>
      <c r="S134" s="456"/>
      <c r="T134" s="456"/>
      <c r="U134" s="456"/>
      <c r="V134" s="456"/>
      <c r="W134" s="456"/>
      <c r="X134" s="456"/>
      <c r="Y134" s="456">
        <f t="shared" si="6"/>
        <v>0</v>
      </c>
      <c r="Z134" s="457">
        <v>125093</v>
      </c>
      <c r="AA134" s="468" t="s">
        <v>2037</v>
      </c>
      <c r="AB134" s="459">
        <v>44222</v>
      </c>
      <c r="AC134" s="464">
        <v>44225</v>
      </c>
      <c r="AD134" s="457"/>
      <c r="AE134" s="469"/>
      <c r="AF134" s="463"/>
      <c r="AG134" s="464"/>
      <c r="AH134" s="457"/>
      <c r="AI134" s="468"/>
      <c r="AJ134" s="463"/>
      <c r="AK134" s="464"/>
      <c r="AL134" s="457"/>
      <c r="AM134" s="468"/>
      <c r="AN134" s="463"/>
      <c r="AO134" s="464"/>
      <c r="AP134" s="457"/>
      <c r="AQ134" s="468"/>
      <c r="AR134" s="463"/>
      <c r="AS134" s="464"/>
      <c r="AT134" s="37">
        <f t="shared" si="4"/>
        <v>125093</v>
      </c>
      <c r="AU134" s="465">
        <f t="shared" si="5"/>
        <v>125093</v>
      </c>
      <c r="AV134" s="466"/>
    </row>
    <row r="135" spans="2:48" s="26" customFormat="1" x14ac:dyDescent="0.2">
      <c r="B135" s="27">
        <f t="shared" si="7"/>
        <v>119</v>
      </c>
      <c r="C135" s="447" t="s">
        <v>39</v>
      </c>
      <c r="D135" s="448">
        <v>30389026</v>
      </c>
      <c r="E135" s="449" t="s">
        <v>2195</v>
      </c>
      <c r="F135" s="450" t="s">
        <v>193</v>
      </c>
      <c r="G135" s="451" t="s">
        <v>2025</v>
      </c>
      <c r="H135" s="472" t="s">
        <v>2080</v>
      </c>
      <c r="I135" s="452" t="s">
        <v>57</v>
      </c>
      <c r="J135" s="453">
        <v>50441</v>
      </c>
      <c r="K135" s="454">
        <v>28166</v>
      </c>
      <c r="L135" s="455">
        <v>0</v>
      </c>
      <c r="M135" s="456">
        <v>0</v>
      </c>
      <c r="N135" s="456">
        <v>0</v>
      </c>
      <c r="O135" s="456">
        <v>0</v>
      </c>
      <c r="P135" s="456"/>
      <c r="Q135" s="456"/>
      <c r="R135" s="456"/>
      <c r="S135" s="456"/>
      <c r="T135" s="456"/>
      <c r="U135" s="456"/>
      <c r="V135" s="456"/>
      <c r="W135" s="456"/>
      <c r="X135" s="456"/>
      <c r="Y135" s="456">
        <f t="shared" si="6"/>
        <v>0</v>
      </c>
      <c r="Z135" s="457">
        <v>22275</v>
      </c>
      <c r="AA135" s="468" t="s">
        <v>144</v>
      </c>
      <c r="AB135" s="459">
        <v>44224</v>
      </c>
      <c r="AC135" s="464">
        <v>44251</v>
      </c>
      <c r="AD135" s="457"/>
      <c r="AE135" s="469"/>
      <c r="AF135" s="463"/>
      <c r="AG135" s="464"/>
      <c r="AH135" s="457"/>
      <c r="AI135" s="468"/>
      <c r="AJ135" s="463"/>
      <c r="AK135" s="464"/>
      <c r="AL135" s="457"/>
      <c r="AM135" s="468"/>
      <c r="AN135" s="463"/>
      <c r="AO135" s="464"/>
      <c r="AP135" s="457"/>
      <c r="AQ135" s="468"/>
      <c r="AR135" s="463"/>
      <c r="AS135" s="464"/>
      <c r="AT135" s="37">
        <f t="shared" si="4"/>
        <v>22275</v>
      </c>
      <c r="AU135" s="465">
        <f t="shared" si="5"/>
        <v>22275</v>
      </c>
      <c r="AV135" s="466"/>
    </row>
    <row r="136" spans="2:48" s="26" customFormat="1" ht="22.5" x14ac:dyDescent="0.2">
      <c r="B136" s="27">
        <f t="shared" si="7"/>
        <v>120</v>
      </c>
      <c r="C136" s="447" t="s">
        <v>39</v>
      </c>
      <c r="D136" s="448">
        <v>30391825</v>
      </c>
      <c r="E136" s="449" t="s">
        <v>2196</v>
      </c>
      <c r="F136" s="450" t="s">
        <v>193</v>
      </c>
      <c r="G136" s="451" t="s">
        <v>2025</v>
      </c>
      <c r="H136" s="472" t="s">
        <v>2150</v>
      </c>
      <c r="I136" s="452" t="s">
        <v>72</v>
      </c>
      <c r="J136" s="453">
        <v>411102</v>
      </c>
      <c r="K136" s="467">
        <v>0</v>
      </c>
      <c r="L136" s="456">
        <v>405602</v>
      </c>
      <c r="M136" s="456">
        <v>0</v>
      </c>
      <c r="N136" s="456">
        <v>0</v>
      </c>
      <c r="O136" s="456">
        <v>0</v>
      </c>
      <c r="P136" s="456"/>
      <c r="Q136" s="456"/>
      <c r="R136" s="456"/>
      <c r="S136" s="456"/>
      <c r="T136" s="456"/>
      <c r="U136" s="456"/>
      <c r="V136" s="456"/>
      <c r="W136" s="456"/>
      <c r="X136" s="456"/>
      <c r="Y136" s="456">
        <f t="shared" si="6"/>
        <v>0</v>
      </c>
      <c r="Z136" s="457">
        <v>3502</v>
      </c>
      <c r="AA136" s="468" t="s">
        <v>2084</v>
      </c>
      <c r="AB136" s="459">
        <v>44259</v>
      </c>
      <c r="AC136" s="464">
        <v>44274</v>
      </c>
      <c r="AD136" s="457"/>
      <c r="AE136" s="469"/>
      <c r="AF136" s="463"/>
      <c r="AG136" s="464"/>
      <c r="AH136" s="457"/>
      <c r="AI136" s="468"/>
      <c r="AJ136" s="463"/>
      <c r="AK136" s="464"/>
      <c r="AL136" s="457"/>
      <c r="AM136" s="468"/>
      <c r="AN136" s="463"/>
      <c r="AO136" s="464"/>
      <c r="AP136" s="457"/>
      <c r="AQ136" s="468"/>
      <c r="AR136" s="463"/>
      <c r="AS136" s="464"/>
      <c r="AT136" s="37">
        <f t="shared" si="4"/>
        <v>3502</v>
      </c>
      <c r="AU136" s="465">
        <f t="shared" si="5"/>
        <v>3502</v>
      </c>
      <c r="AV136" s="466"/>
    </row>
    <row r="137" spans="2:48" s="26" customFormat="1" x14ac:dyDescent="0.2">
      <c r="B137" s="27">
        <f t="shared" si="7"/>
        <v>121</v>
      </c>
      <c r="C137" s="447" t="s">
        <v>39</v>
      </c>
      <c r="D137" s="448">
        <v>30407385</v>
      </c>
      <c r="E137" s="449" t="s">
        <v>2197</v>
      </c>
      <c r="F137" s="450" t="s">
        <v>193</v>
      </c>
      <c r="G137" s="451" t="s">
        <v>2025</v>
      </c>
      <c r="H137" s="472" t="s">
        <v>2101</v>
      </c>
      <c r="I137" s="452" t="s">
        <v>57</v>
      </c>
      <c r="J137" s="454">
        <v>523290</v>
      </c>
      <c r="K137" s="453">
        <v>470883</v>
      </c>
      <c r="L137" s="456">
        <v>0</v>
      </c>
      <c r="M137" s="456">
        <v>0</v>
      </c>
      <c r="N137" s="456">
        <v>0</v>
      </c>
      <c r="O137" s="456">
        <v>0</v>
      </c>
      <c r="P137" s="456"/>
      <c r="Q137" s="456"/>
      <c r="R137" s="456"/>
      <c r="S137" s="456"/>
      <c r="T137" s="456"/>
      <c r="U137" s="456"/>
      <c r="V137" s="456"/>
      <c r="W137" s="456"/>
      <c r="X137" s="456"/>
      <c r="Y137" s="456">
        <f t="shared" si="6"/>
        <v>0</v>
      </c>
      <c r="Z137" s="457">
        <v>52407</v>
      </c>
      <c r="AA137" s="468" t="s">
        <v>2060</v>
      </c>
      <c r="AB137" s="459">
        <v>44237</v>
      </c>
      <c r="AC137" s="464">
        <v>44251</v>
      </c>
      <c r="AD137" s="457"/>
      <c r="AE137" s="469"/>
      <c r="AF137" s="463"/>
      <c r="AG137" s="464"/>
      <c r="AH137" s="457"/>
      <c r="AI137" s="468"/>
      <c r="AJ137" s="463"/>
      <c r="AK137" s="464"/>
      <c r="AL137" s="457"/>
      <c r="AM137" s="468"/>
      <c r="AN137" s="463"/>
      <c r="AO137" s="464"/>
      <c r="AP137" s="457"/>
      <c r="AQ137" s="468"/>
      <c r="AR137" s="463"/>
      <c r="AS137" s="464"/>
      <c r="AT137" s="37">
        <f t="shared" si="4"/>
        <v>52407</v>
      </c>
      <c r="AU137" s="465">
        <f t="shared" si="5"/>
        <v>52407</v>
      </c>
      <c r="AV137" s="466"/>
    </row>
    <row r="138" spans="2:48" s="26" customFormat="1" x14ac:dyDescent="0.2">
      <c r="B138" s="27">
        <f t="shared" si="7"/>
        <v>122</v>
      </c>
      <c r="C138" s="447" t="s">
        <v>39</v>
      </c>
      <c r="D138" s="448">
        <v>30422522</v>
      </c>
      <c r="E138" s="449" t="s">
        <v>2198</v>
      </c>
      <c r="F138" s="450" t="s">
        <v>147</v>
      </c>
      <c r="G138" s="451" t="s">
        <v>2025</v>
      </c>
      <c r="H138" s="472" t="s">
        <v>2150</v>
      </c>
      <c r="I138" s="452" t="s">
        <v>57</v>
      </c>
      <c r="J138" s="454">
        <v>739488</v>
      </c>
      <c r="K138" s="453">
        <v>0</v>
      </c>
      <c r="L138" s="456">
        <v>639486</v>
      </c>
      <c r="M138" s="456">
        <v>0</v>
      </c>
      <c r="N138" s="456">
        <v>0</v>
      </c>
      <c r="O138" s="456">
        <v>0</v>
      </c>
      <c r="P138" s="456"/>
      <c r="Q138" s="456"/>
      <c r="R138" s="456"/>
      <c r="S138" s="456"/>
      <c r="T138" s="456"/>
      <c r="U138" s="456"/>
      <c r="V138" s="456"/>
      <c r="W138" s="456"/>
      <c r="X138" s="456"/>
      <c r="Y138" s="456">
        <f t="shared" si="6"/>
        <v>0</v>
      </c>
      <c r="Z138" s="457">
        <v>100002</v>
      </c>
      <c r="AA138" s="468" t="s">
        <v>2060</v>
      </c>
      <c r="AB138" s="459">
        <v>44237</v>
      </c>
      <c r="AC138" s="464">
        <v>44251</v>
      </c>
      <c r="AD138" s="457"/>
      <c r="AE138" s="469"/>
      <c r="AF138" s="463"/>
      <c r="AG138" s="464"/>
      <c r="AH138" s="457"/>
      <c r="AI138" s="468"/>
      <c r="AJ138" s="463"/>
      <c r="AK138" s="464"/>
      <c r="AL138" s="457"/>
      <c r="AM138" s="468"/>
      <c r="AN138" s="463"/>
      <c r="AO138" s="464"/>
      <c r="AP138" s="457"/>
      <c r="AQ138" s="468"/>
      <c r="AR138" s="463"/>
      <c r="AS138" s="464"/>
      <c r="AT138" s="37">
        <f t="shared" si="4"/>
        <v>100002</v>
      </c>
      <c r="AU138" s="465">
        <f t="shared" si="5"/>
        <v>100002</v>
      </c>
      <c r="AV138" s="466"/>
    </row>
    <row r="139" spans="2:48" s="26" customFormat="1" x14ac:dyDescent="0.2">
      <c r="B139" s="27">
        <f t="shared" si="7"/>
        <v>123</v>
      </c>
      <c r="C139" s="447" t="s">
        <v>39</v>
      </c>
      <c r="D139" s="448">
        <v>30422827</v>
      </c>
      <c r="E139" s="449" t="s">
        <v>2199</v>
      </c>
      <c r="F139" s="450" t="s">
        <v>147</v>
      </c>
      <c r="G139" s="451" t="s">
        <v>2025</v>
      </c>
      <c r="H139" s="472" t="s">
        <v>2072</v>
      </c>
      <c r="I139" s="452" t="s">
        <v>57</v>
      </c>
      <c r="J139" s="454">
        <v>651002</v>
      </c>
      <c r="K139" s="453">
        <v>164784</v>
      </c>
      <c r="L139" s="456">
        <v>0</v>
      </c>
      <c r="M139" s="456">
        <v>0</v>
      </c>
      <c r="N139" s="456">
        <v>36298</v>
      </c>
      <c r="O139" s="456">
        <v>51623</v>
      </c>
      <c r="P139" s="456"/>
      <c r="Q139" s="456"/>
      <c r="R139" s="456"/>
      <c r="S139" s="456"/>
      <c r="T139" s="456"/>
      <c r="U139" s="456"/>
      <c r="V139" s="456"/>
      <c r="W139" s="456"/>
      <c r="X139" s="456"/>
      <c r="Y139" s="456">
        <f t="shared" si="6"/>
        <v>87921</v>
      </c>
      <c r="Z139" s="457">
        <v>486218</v>
      </c>
      <c r="AA139" s="468" t="s">
        <v>2060</v>
      </c>
      <c r="AB139" s="459">
        <v>44237</v>
      </c>
      <c r="AC139" s="464">
        <v>44251</v>
      </c>
      <c r="AD139" s="457"/>
      <c r="AE139" s="469"/>
      <c r="AF139" s="463"/>
      <c r="AG139" s="464"/>
      <c r="AH139" s="457"/>
      <c r="AI139" s="468"/>
      <c r="AJ139" s="463"/>
      <c r="AK139" s="464"/>
      <c r="AL139" s="457"/>
      <c r="AM139" s="468"/>
      <c r="AN139" s="463"/>
      <c r="AO139" s="464"/>
      <c r="AP139" s="457"/>
      <c r="AQ139" s="468"/>
      <c r="AR139" s="463"/>
      <c r="AS139" s="464"/>
      <c r="AT139" s="37">
        <f t="shared" si="4"/>
        <v>486218</v>
      </c>
      <c r="AU139" s="465">
        <f t="shared" si="5"/>
        <v>398297</v>
      </c>
      <c r="AV139" s="466"/>
    </row>
    <row r="140" spans="2:48" s="26" customFormat="1" x14ac:dyDescent="0.2">
      <c r="B140" s="27">
        <f t="shared" si="7"/>
        <v>124</v>
      </c>
      <c r="C140" s="447" t="s">
        <v>39</v>
      </c>
      <c r="D140" s="448">
        <v>30433475</v>
      </c>
      <c r="E140" s="449" t="s">
        <v>2200</v>
      </c>
      <c r="F140" s="450" t="s">
        <v>147</v>
      </c>
      <c r="G140" s="451" t="s">
        <v>2025</v>
      </c>
      <c r="H140" s="472" t="s">
        <v>2134</v>
      </c>
      <c r="I140" s="452" t="s">
        <v>72</v>
      </c>
      <c r="J140" s="453">
        <v>856929</v>
      </c>
      <c r="K140" s="471">
        <v>0</v>
      </c>
      <c r="L140" s="455">
        <v>743632</v>
      </c>
      <c r="M140" s="456">
        <v>0</v>
      </c>
      <c r="N140" s="456">
        <v>0</v>
      </c>
      <c r="O140" s="456">
        <v>0</v>
      </c>
      <c r="P140" s="456"/>
      <c r="Q140" s="456"/>
      <c r="R140" s="456"/>
      <c r="S140" s="456"/>
      <c r="T140" s="456"/>
      <c r="U140" s="456"/>
      <c r="V140" s="456"/>
      <c r="W140" s="456"/>
      <c r="X140" s="456"/>
      <c r="Y140" s="456">
        <f t="shared" si="6"/>
        <v>0</v>
      </c>
      <c r="Z140" s="457">
        <v>113180</v>
      </c>
      <c r="AA140" s="468" t="s">
        <v>2037</v>
      </c>
      <c r="AB140" s="459">
        <v>44222</v>
      </c>
      <c r="AC140" s="464">
        <v>44225</v>
      </c>
      <c r="AD140" s="457"/>
      <c r="AE140" s="469"/>
      <c r="AF140" s="463"/>
      <c r="AG140" s="464"/>
      <c r="AH140" s="457"/>
      <c r="AI140" s="468"/>
      <c r="AJ140" s="463"/>
      <c r="AK140" s="464"/>
      <c r="AL140" s="457"/>
      <c r="AM140" s="468"/>
      <c r="AN140" s="463"/>
      <c r="AO140" s="464"/>
      <c r="AP140" s="457"/>
      <c r="AQ140" s="468"/>
      <c r="AR140" s="463"/>
      <c r="AS140" s="464"/>
      <c r="AT140" s="37">
        <f t="shared" si="4"/>
        <v>113180</v>
      </c>
      <c r="AU140" s="465">
        <f t="shared" si="5"/>
        <v>113180</v>
      </c>
      <c r="AV140" s="466"/>
    </row>
    <row r="141" spans="2:48" s="26" customFormat="1" x14ac:dyDescent="0.2">
      <c r="B141" s="27">
        <f t="shared" si="7"/>
        <v>125</v>
      </c>
      <c r="C141" s="447" t="s">
        <v>39</v>
      </c>
      <c r="D141" s="448">
        <v>30435474</v>
      </c>
      <c r="E141" s="449" t="s">
        <v>2201</v>
      </c>
      <c r="F141" s="450" t="s">
        <v>2155</v>
      </c>
      <c r="G141" s="451" t="s">
        <v>2025</v>
      </c>
      <c r="H141" s="472" t="s">
        <v>2080</v>
      </c>
      <c r="I141" s="452" t="s">
        <v>57</v>
      </c>
      <c r="J141" s="453">
        <v>94700</v>
      </c>
      <c r="K141" s="454">
        <v>83942</v>
      </c>
      <c r="L141" s="455">
        <v>0</v>
      </c>
      <c r="M141" s="456">
        <v>0</v>
      </c>
      <c r="N141" s="456">
        <v>0</v>
      </c>
      <c r="O141" s="456">
        <v>0</v>
      </c>
      <c r="P141" s="456"/>
      <c r="Q141" s="456"/>
      <c r="R141" s="456"/>
      <c r="S141" s="456"/>
      <c r="T141" s="456"/>
      <c r="U141" s="456"/>
      <c r="V141" s="456"/>
      <c r="W141" s="456"/>
      <c r="X141" s="456"/>
      <c r="Y141" s="456">
        <f t="shared" si="6"/>
        <v>0</v>
      </c>
      <c r="Z141" s="457">
        <v>10758</v>
      </c>
      <c r="AA141" s="468" t="s">
        <v>144</v>
      </c>
      <c r="AB141" s="459">
        <v>44224</v>
      </c>
      <c r="AC141" s="464">
        <v>44251</v>
      </c>
      <c r="AD141" s="457"/>
      <c r="AE141" s="469"/>
      <c r="AF141" s="463"/>
      <c r="AG141" s="464"/>
      <c r="AH141" s="457"/>
      <c r="AI141" s="468"/>
      <c r="AJ141" s="463"/>
      <c r="AK141" s="464"/>
      <c r="AL141" s="457"/>
      <c r="AM141" s="468"/>
      <c r="AN141" s="463"/>
      <c r="AO141" s="464"/>
      <c r="AP141" s="457"/>
      <c r="AQ141" s="468"/>
      <c r="AR141" s="463"/>
      <c r="AS141" s="464"/>
      <c r="AT141" s="37">
        <f t="shared" si="4"/>
        <v>10758</v>
      </c>
      <c r="AU141" s="465">
        <f t="shared" si="5"/>
        <v>10758</v>
      </c>
      <c r="AV141" s="466"/>
    </row>
    <row r="142" spans="2:48" s="26" customFormat="1" x14ac:dyDescent="0.2">
      <c r="B142" s="27">
        <f t="shared" si="7"/>
        <v>126</v>
      </c>
      <c r="C142" s="447" t="s">
        <v>39</v>
      </c>
      <c r="D142" s="448">
        <v>30436372</v>
      </c>
      <c r="E142" s="449" t="s">
        <v>2202</v>
      </c>
      <c r="F142" s="450" t="s">
        <v>147</v>
      </c>
      <c r="G142" s="451" t="s">
        <v>2025</v>
      </c>
      <c r="H142" s="472" t="s">
        <v>2166</v>
      </c>
      <c r="I142" s="452" t="s">
        <v>72</v>
      </c>
      <c r="J142" s="453">
        <v>1773631</v>
      </c>
      <c r="K142" s="467">
        <v>0</v>
      </c>
      <c r="L142" s="456">
        <v>1356203</v>
      </c>
      <c r="M142" s="456">
        <v>0</v>
      </c>
      <c r="N142" s="456">
        <v>0</v>
      </c>
      <c r="O142" s="456">
        <v>0</v>
      </c>
      <c r="P142" s="456"/>
      <c r="Q142" s="456"/>
      <c r="R142" s="456"/>
      <c r="S142" s="456"/>
      <c r="T142" s="456"/>
      <c r="U142" s="456"/>
      <c r="V142" s="456"/>
      <c r="W142" s="456"/>
      <c r="X142" s="456"/>
      <c r="Y142" s="456">
        <f t="shared" si="6"/>
        <v>0</v>
      </c>
      <c r="Z142" s="457">
        <v>105000</v>
      </c>
      <c r="AA142" s="468" t="s">
        <v>2084</v>
      </c>
      <c r="AB142" s="459">
        <v>44259</v>
      </c>
      <c r="AC142" s="464">
        <v>44274</v>
      </c>
      <c r="AD142" s="457"/>
      <c r="AE142" s="469"/>
      <c r="AF142" s="463"/>
      <c r="AG142" s="464"/>
      <c r="AH142" s="457"/>
      <c r="AI142" s="468"/>
      <c r="AJ142" s="463"/>
      <c r="AK142" s="464"/>
      <c r="AL142" s="457"/>
      <c r="AM142" s="468"/>
      <c r="AN142" s="463"/>
      <c r="AO142" s="464"/>
      <c r="AP142" s="457"/>
      <c r="AQ142" s="468"/>
      <c r="AR142" s="463"/>
      <c r="AS142" s="464"/>
      <c r="AT142" s="37">
        <f t="shared" si="4"/>
        <v>105000</v>
      </c>
      <c r="AU142" s="465">
        <f t="shared" si="5"/>
        <v>105000</v>
      </c>
      <c r="AV142" s="466"/>
    </row>
    <row r="143" spans="2:48" s="26" customFormat="1" x14ac:dyDescent="0.2">
      <c r="B143" s="27">
        <f t="shared" si="7"/>
        <v>127</v>
      </c>
      <c r="C143" s="447" t="s">
        <v>39</v>
      </c>
      <c r="D143" s="448">
        <v>30441475</v>
      </c>
      <c r="E143" s="449" t="s">
        <v>2203</v>
      </c>
      <c r="F143" s="450" t="s">
        <v>2155</v>
      </c>
      <c r="G143" s="451" t="s">
        <v>2025</v>
      </c>
      <c r="H143" s="472" t="s">
        <v>2057</v>
      </c>
      <c r="I143" s="452" t="s">
        <v>57</v>
      </c>
      <c r="J143" s="453">
        <v>89400</v>
      </c>
      <c r="K143" s="454">
        <v>13553</v>
      </c>
      <c r="L143" s="455">
        <v>1</v>
      </c>
      <c r="M143" s="456">
        <v>0</v>
      </c>
      <c r="N143" s="456">
        <v>0</v>
      </c>
      <c r="O143" s="456">
        <v>6627</v>
      </c>
      <c r="P143" s="456"/>
      <c r="Q143" s="456"/>
      <c r="R143" s="456"/>
      <c r="S143" s="456"/>
      <c r="T143" s="456"/>
      <c r="U143" s="456"/>
      <c r="V143" s="456"/>
      <c r="W143" s="456"/>
      <c r="X143" s="456"/>
      <c r="Y143" s="456">
        <f t="shared" si="6"/>
        <v>6627</v>
      </c>
      <c r="Z143" s="457">
        <v>75846</v>
      </c>
      <c r="AA143" s="468" t="s">
        <v>144</v>
      </c>
      <c r="AB143" s="459">
        <v>44224</v>
      </c>
      <c r="AC143" s="464">
        <v>44251</v>
      </c>
      <c r="AD143" s="457"/>
      <c r="AE143" s="469"/>
      <c r="AF143" s="463"/>
      <c r="AG143" s="464"/>
      <c r="AH143" s="457"/>
      <c r="AI143" s="468"/>
      <c r="AJ143" s="463"/>
      <c r="AK143" s="464"/>
      <c r="AL143" s="457"/>
      <c r="AM143" s="468"/>
      <c r="AN143" s="463"/>
      <c r="AO143" s="464"/>
      <c r="AP143" s="457"/>
      <c r="AQ143" s="468"/>
      <c r="AR143" s="463"/>
      <c r="AS143" s="464"/>
      <c r="AT143" s="37">
        <f t="shared" si="4"/>
        <v>75846</v>
      </c>
      <c r="AU143" s="465">
        <f t="shared" si="5"/>
        <v>69219</v>
      </c>
      <c r="AV143" s="466"/>
    </row>
    <row r="144" spans="2:48" s="26" customFormat="1" ht="22.5" x14ac:dyDescent="0.2">
      <c r="B144" s="27">
        <f t="shared" si="7"/>
        <v>128</v>
      </c>
      <c r="C144" s="447" t="s">
        <v>39</v>
      </c>
      <c r="D144" s="448">
        <v>30446872</v>
      </c>
      <c r="E144" s="449" t="s">
        <v>2204</v>
      </c>
      <c r="F144" s="450" t="s">
        <v>2155</v>
      </c>
      <c r="G144" s="451" t="s">
        <v>2025</v>
      </c>
      <c r="H144" s="472" t="s">
        <v>2046</v>
      </c>
      <c r="I144" s="452" t="s">
        <v>72</v>
      </c>
      <c r="J144" s="453">
        <v>94479</v>
      </c>
      <c r="K144" s="454">
        <v>0</v>
      </c>
      <c r="L144" s="455">
        <v>2079</v>
      </c>
      <c r="M144" s="456">
        <v>0</v>
      </c>
      <c r="N144" s="456">
        <v>0</v>
      </c>
      <c r="O144" s="456">
        <v>0</v>
      </c>
      <c r="P144" s="456"/>
      <c r="Q144" s="456"/>
      <c r="R144" s="456"/>
      <c r="S144" s="456"/>
      <c r="T144" s="456"/>
      <c r="U144" s="456"/>
      <c r="V144" s="456"/>
      <c r="W144" s="456"/>
      <c r="X144" s="456"/>
      <c r="Y144" s="456">
        <f t="shared" si="6"/>
        <v>0</v>
      </c>
      <c r="Z144" s="457">
        <v>43125</v>
      </c>
      <c r="AA144" s="468" t="s">
        <v>144</v>
      </c>
      <c r="AB144" s="459">
        <v>44224</v>
      </c>
      <c r="AC144" s="464">
        <v>44251</v>
      </c>
      <c r="AD144" s="457"/>
      <c r="AE144" s="469"/>
      <c r="AF144" s="463"/>
      <c r="AG144" s="464"/>
      <c r="AH144" s="457"/>
      <c r="AI144" s="468"/>
      <c r="AJ144" s="463"/>
      <c r="AK144" s="464"/>
      <c r="AL144" s="457"/>
      <c r="AM144" s="468"/>
      <c r="AN144" s="463"/>
      <c r="AO144" s="464"/>
      <c r="AP144" s="457"/>
      <c r="AQ144" s="468"/>
      <c r="AR144" s="463"/>
      <c r="AS144" s="464"/>
      <c r="AT144" s="37">
        <f t="shared" si="4"/>
        <v>43125</v>
      </c>
      <c r="AU144" s="465">
        <f t="shared" si="5"/>
        <v>43125</v>
      </c>
      <c r="AV144" s="466"/>
    </row>
    <row r="145" spans="2:48" s="26" customFormat="1" x14ac:dyDescent="0.2">
      <c r="B145" s="27">
        <f t="shared" si="7"/>
        <v>129</v>
      </c>
      <c r="C145" s="447" t="s">
        <v>39</v>
      </c>
      <c r="D145" s="448">
        <v>30450779</v>
      </c>
      <c r="E145" s="449" t="s">
        <v>2205</v>
      </c>
      <c r="F145" s="450" t="s">
        <v>147</v>
      </c>
      <c r="G145" s="451" t="s">
        <v>2025</v>
      </c>
      <c r="H145" s="472" t="s">
        <v>2048</v>
      </c>
      <c r="I145" s="452" t="s">
        <v>57</v>
      </c>
      <c r="J145" s="453">
        <v>1926223</v>
      </c>
      <c r="K145" s="467">
        <v>891666</v>
      </c>
      <c r="L145" s="456">
        <v>234557</v>
      </c>
      <c r="M145" s="456">
        <v>0</v>
      </c>
      <c r="N145" s="456">
        <v>0</v>
      </c>
      <c r="O145" s="456">
        <v>0</v>
      </c>
      <c r="P145" s="456"/>
      <c r="Q145" s="456"/>
      <c r="R145" s="456"/>
      <c r="S145" s="456"/>
      <c r="T145" s="456"/>
      <c r="U145" s="456"/>
      <c r="V145" s="456"/>
      <c r="W145" s="456"/>
      <c r="X145" s="456"/>
      <c r="Y145" s="456">
        <f t="shared" si="6"/>
        <v>0</v>
      </c>
      <c r="Z145" s="457">
        <v>800000</v>
      </c>
      <c r="AA145" s="468" t="s">
        <v>2020</v>
      </c>
      <c r="AB145" s="459">
        <v>44232</v>
      </c>
      <c r="AC145" s="464">
        <v>44251</v>
      </c>
      <c r="AD145" s="457"/>
      <c r="AE145" s="469"/>
      <c r="AF145" s="463"/>
      <c r="AG145" s="464"/>
      <c r="AH145" s="457"/>
      <c r="AI145" s="468"/>
      <c r="AJ145" s="463"/>
      <c r="AK145" s="464"/>
      <c r="AL145" s="457"/>
      <c r="AM145" s="468"/>
      <c r="AN145" s="463"/>
      <c r="AO145" s="464"/>
      <c r="AP145" s="457"/>
      <c r="AQ145" s="468"/>
      <c r="AR145" s="463"/>
      <c r="AS145" s="464"/>
      <c r="AT145" s="37">
        <f t="shared" si="4"/>
        <v>800000</v>
      </c>
      <c r="AU145" s="465">
        <f t="shared" si="5"/>
        <v>800000</v>
      </c>
      <c r="AV145" s="466"/>
    </row>
    <row r="146" spans="2:48" s="26" customFormat="1" x14ac:dyDescent="0.2">
      <c r="B146" s="27">
        <f t="shared" si="7"/>
        <v>130</v>
      </c>
      <c r="C146" s="447" t="s">
        <v>39</v>
      </c>
      <c r="D146" s="448">
        <v>30452080</v>
      </c>
      <c r="E146" s="449" t="s">
        <v>2206</v>
      </c>
      <c r="F146" s="450" t="s">
        <v>147</v>
      </c>
      <c r="G146" s="451" t="s">
        <v>2025</v>
      </c>
      <c r="H146" s="472" t="s">
        <v>2166</v>
      </c>
      <c r="I146" s="452" t="s">
        <v>57</v>
      </c>
      <c r="J146" s="454">
        <v>3223520</v>
      </c>
      <c r="K146" s="453">
        <v>568387</v>
      </c>
      <c r="L146" s="456">
        <v>1055132</v>
      </c>
      <c r="M146" s="456">
        <v>0</v>
      </c>
      <c r="N146" s="456">
        <v>0</v>
      </c>
      <c r="O146" s="456">
        <v>471783</v>
      </c>
      <c r="P146" s="456"/>
      <c r="Q146" s="456"/>
      <c r="R146" s="456"/>
      <c r="S146" s="456"/>
      <c r="T146" s="456"/>
      <c r="U146" s="456"/>
      <c r="V146" s="456"/>
      <c r="W146" s="456"/>
      <c r="X146" s="456"/>
      <c r="Y146" s="456">
        <f t="shared" si="6"/>
        <v>471783</v>
      </c>
      <c r="Z146" s="457">
        <v>1600001</v>
      </c>
      <c r="AA146" s="468" t="s">
        <v>2060</v>
      </c>
      <c r="AB146" s="459">
        <v>44237</v>
      </c>
      <c r="AC146" s="464">
        <v>44251</v>
      </c>
      <c r="AD146" s="457"/>
      <c r="AE146" s="469"/>
      <c r="AF146" s="463"/>
      <c r="AG146" s="464"/>
      <c r="AH146" s="457"/>
      <c r="AI146" s="468"/>
      <c r="AJ146" s="463"/>
      <c r="AK146" s="464"/>
      <c r="AL146" s="457"/>
      <c r="AM146" s="468"/>
      <c r="AN146" s="463"/>
      <c r="AO146" s="464"/>
      <c r="AP146" s="457"/>
      <c r="AQ146" s="468"/>
      <c r="AR146" s="463"/>
      <c r="AS146" s="464"/>
      <c r="AT146" s="37">
        <f t="shared" ref="AT146:AT209" si="8">(Z146+AD146+AH146+AL146+AP146)</f>
        <v>1600001</v>
      </c>
      <c r="AU146" s="465">
        <f t="shared" ref="AU146:AU202" si="9">AT146-Y146</f>
        <v>1128218</v>
      </c>
      <c r="AV146" s="466"/>
    </row>
    <row r="147" spans="2:48" s="26" customFormat="1" x14ac:dyDescent="0.2">
      <c r="B147" s="27">
        <f t="shared" si="7"/>
        <v>131</v>
      </c>
      <c r="C147" s="447" t="s">
        <v>39</v>
      </c>
      <c r="D147" s="448">
        <v>30452474</v>
      </c>
      <c r="E147" s="449" t="s">
        <v>2207</v>
      </c>
      <c r="F147" s="450" t="s">
        <v>147</v>
      </c>
      <c r="G147" s="451" t="s">
        <v>2025</v>
      </c>
      <c r="H147" s="472" t="s">
        <v>2028</v>
      </c>
      <c r="I147" s="452" t="s">
        <v>57</v>
      </c>
      <c r="J147" s="453">
        <v>260120</v>
      </c>
      <c r="K147" s="467">
        <v>92613</v>
      </c>
      <c r="L147" s="456">
        <v>0</v>
      </c>
      <c r="M147" s="456">
        <v>0</v>
      </c>
      <c r="N147" s="456">
        <v>0</v>
      </c>
      <c r="O147" s="456">
        <v>0</v>
      </c>
      <c r="P147" s="456"/>
      <c r="Q147" s="456"/>
      <c r="R147" s="456"/>
      <c r="S147" s="456"/>
      <c r="T147" s="456"/>
      <c r="U147" s="456"/>
      <c r="V147" s="456"/>
      <c r="W147" s="456"/>
      <c r="X147" s="456"/>
      <c r="Y147" s="456">
        <f t="shared" ref="Y147:Y210" si="10">SUM(M147:X147)</f>
        <v>0</v>
      </c>
      <c r="Z147" s="457">
        <v>1000</v>
      </c>
      <c r="AA147" s="468" t="s">
        <v>2020</v>
      </c>
      <c r="AB147" s="459">
        <v>44232</v>
      </c>
      <c r="AC147" s="464">
        <v>44251</v>
      </c>
      <c r="AD147" s="457"/>
      <c r="AE147" s="469"/>
      <c r="AF147" s="463"/>
      <c r="AG147" s="464"/>
      <c r="AH147" s="457"/>
      <c r="AI147" s="468"/>
      <c r="AJ147" s="463"/>
      <c r="AK147" s="464"/>
      <c r="AL147" s="457"/>
      <c r="AM147" s="468"/>
      <c r="AN147" s="463"/>
      <c r="AO147" s="464"/>
      <c r="AP147" s="457"/>
      <c r="AQ147" s="468"/>
      <c r="AR147" s="463"/>
      <c r="AS147" s="464"/>
      <c r="AT147" s="37">
        <f t="shared" si="8"/>
        <v>1000</v>
      </c>
      <c r="AU147" s="465">
        <f t="shared" si="9"/>
        <v>1000</v>
      </c>
      <c r="AV147" s="466"/>
    </row>
    <row r="148" spans="2:48" s="26" customFormat="1" x14ac:dyDescent="0.2">
      <c r="B148" s="27">
        <f t="shared" ref="B148:B211" si="11">+B147+1</f>
        <v>132</v>
      </c>
      <c r="C148" s="447" t="s">
        <v>39</v>
      </c>
      <c r="D148" s="448">
        <v>30452477</v>
      </c>
      <c r="E148" s="449" t="s">
        <v>2208</v>
      </c>
      <c r="F148" s="450" t="s">
        <v>147</v>
      </c>
      <c r="G148" s="451" t="s">
        <v>2025</v>
      </c>
      <c r="H148" s="472" t="s">
        <v>2209</v>
      </c>
      <c r="I148" s="452" t="s">
        <v>57</v>
      </c>
      <c r="J148" s="453">
        <v>153543</v>
      </c>
      <c r="K148" s="467">
        <v>2498</v>
      </c>
      <c r="L148" s="456">
        <v>25777</v>
      </c>
      <c r="M148" s="456">
        <v>0</v>
      </c>
      <c r="N148" s="456">
        <v>0</v>
      </c>
      <c r="O148" s="456">
        <v>0</v>
      </c>
      <c r="P148" s="456"/>
      <c r="Q148" s="456"/>
      <c r="R148" s="456"/>
      <c r="S148" s="456"/>
      <c r="T148" s="456"/>
      <c r="U148" s="456"/>
      <c r="V148" s="456"/>
      <c r="W148" s="456"/>
      <c r="X148" s="456"/>
      <c r="Y148" s="456">
        <f t="shared" si="10"/>
        <v>0</v>
      </c>
      <c r="Z148" s="457">
        <v>125000</v>
      </c>
      <c r="AA148" s="468" t="s">
        <v>2020</v>
      </c>
      <c r="AB148" s="459">
        <v>44232</v>
      </c>
      <c r="AC148" s="464">
        <v>44251</v>
      </c>
      <c r="AD148" s="457"/>
      <c r="AE148" s="469"/>
      <c r="AF148" s="463"/>
      <c r="AG148" s="464"/>
      <c r="AH148" s="457"/>
      <c r="AI148" s="468"/>
      <c r="AJ148" s="463"/>
      <c r="AK148" s="464"/>
      <c r="AL148" s="457"/>
      <c r="AM148" s="468"/>
      <c r="AN148" s="463"/>
      <c r="AO148" s="464"/>
      <c r="AP148" s="457"/>
      <c r="AQ148" s="468"/>
      <c r="AR148" s="463"/>
      <c r="AS148" s="464"/>
      <c r="AT148" s="37">
        <f t="shared" si="8"/>
        <v>125000</v>
      </c>
      <c r="AU148" s="465">
        <f t="shared" si="9"/>
        <v>125000</v>
      </c>
      <c r="AV148" s="466"/>
    </row>
    <row r="149" spans="2:48" s="26" customFormat="1" x14ac:dyDescent="0.2">
      <c r="B149" s="27">
        <f t="shared" si="11"/>
        <v>133</v>
      </c>
      <c r="C149" s="447" t="s">
        <v>39</v>
      </c>
      <c r="D149" s="448">
        <v>30452525</v>
      </c>
      <c r="E149" s="449" t="s">
        <v>2210</v>
      </c>
      <c r="F149" s="450" t="s">
        <v>147</v>
      </c>
      <c r="G149" s="451" t="s">
        <v>2025</v>
      </c>
      <c r="H149" s="472" t="s">
        <v>2209</v>
      </c>
      <c r="I149" s="452" t="s">
        <v>57</v>
      </c>
      <c r="J149" s="453">
        <v>231472</v>
      </c>
      <c r="K149" s="467">
        <v>2498</v>
      </c>
      <c r="L149" s="456">
        <v>68706</v>
      </c>
      <c r="M149" s="456">
        <v>0</v>
      </c>
      <c r="N149" s="456">
        <v>0</v>
      </c>
      <c r="O149" s="456">
        <v>0</v>
      </c>
      <c r="P149" s="456"/>
      <c r="Q149" s="456"/>
      <c r="R149" s="456"/>
      <c r="S149" s="456"/>
      <c r="T149" s="456"/>
      <c r="U149" s="456"/>
      <c r="V149" s="456"/>
      <c r="W149" s="456"/>
      <c r="X149" s="456"/>
      <c r="Y149" s="456">
        <f t="shared" si="10"/>
        <v>0</v>
      </c>
      <c r="Z149" s="457">
        <v>160000</v>
      </c>
      <c r="AA149" s="468" t="s">
        <v>2020</v>
      </c>
      <c r="AB149" s="459">
        <v>44232</v>
      </c>
      <c r="AC149" s="464">
        <v>44251</v>
      </c>
      <c r="AD149" s="457"/>
      <c r="AE149" s="469"/>
      <c r="AF149" s="463"/>
      <c r="AG149" s="464"/>
      <c r="AH149" s="457"/>
      <c r="AI149" s="468"/>
      <c r="AJ149" s="463"/>
      <c r="AK149" s="464"/>
      <c r="AL149" s="457"/>
      <c r="AM149" s="468"/>
      <c r="AN149" s="463"/>
      <c r="AO149" s="464"/>
      <c r="AP149" s="457"/>
      <c r="AQ149" s="468"/>
      <c r="AR149" s="463"/>
      <c r="AS149" s="464"/>
      <c r="AT149" s="37">
        <f t="shared" si="8"/>
        <v>160000</v>
      </c>
      <c r="AU149" s="465">
        <f t="shared" si="9"/>
        <v>160000</v>
      </c>
      <c r="AV149" s="466"/>
    </row>
    <row r="150" spans="2:48" s="26" customFormat="1" x14ac:dyDescent="0.2">
      <c r="B150" s="27">
        <f t="shared" si="11"/>
        <v>134</v>
      </c>
      <c r="C150" s="447" t="s">
        <v>39</v>
      </c>
      <c r="D150" s="448">
        <v>30452722</v>
      </c>
      <c r="E150" s="449" t="s">
        <v>2211</v>
      </c>
      <c r="F150" s="450" t="s">
        <v>147</v>
      </c>
      <c r="G150" s="451" t="s">
        <v>2025</v>
      </c>
      <c r="H150" s="472" t="s">
        <v>2212</v>
      </c>
      <c r="I150" s="452" t="s">
        <v>57</v>
      </c>
      <c r="J150" s="453">
        <v>857469</v>
      </c>
      <c r="K150" s="467">
        <v>142376</v>
      </c>
      <c r="L150" s="456">
        <v>714093</v>
      </c>
      <c r="M150" s="456">
        <v>0</v>
      </c>
      <c r="N150" s="456">
        <v>0</v>
      </c>
      <c r="O150" s="456">
        <v>0</v>
      </c>
      <c r="P150" s="456"/>
      <c r="Q150" s="456"/>
      <c r="R150" s="456"/>
      <c r="S150" s="456"/>
      <c r="T150" s="456"/>
      <c r="U150" s="456"/>
      <c r="V150" s="456"/>
      <c r="W150" s="456"/>
      <c r="X150" s="456"/>
      <c r="Y150" s="456">
        <f t="shared" si="10"/>
        <v>0</v>
      </c>
      <c r="Z150" s="457">
        <v>1000</v>
      </c>
      <c r="AA150" s="468" t="s">
        <v>2020</v>
      </c>
      <c r="AB150" s="459">
        <v>44232</v>
      </c>
      <c r="AC150" s="464">
        <v>44251</v>
      </c>
      <c r="AD150" s="457"/>
      <c r="AE150" s="469"/>
      <c r="AF150" s="463"/>
      <c r="AG150" s="464"/>
      <c r="AH150" s="457"/>
      <c r="AI150" s="468"/>
      <c r="AJ150" s="463"/>
      <c r="AK150" s="464"/>
      <c r="AL150" s="457"/>
      <c r="AM150" s="468"/>
      <c r="AN150" s="463"/>
      <c r="AO150" s="464"/>
      <c r="AP150" s="457"/>
      <c r="AQ150" s="468"/>
      <c r="AR150" s="463"/>
      <c r="AS150" s="464"/>
      <c r="AT150" s="37">
        <f t="shared" si="8"/>
        <v>1000</v>
      </c>
      <c r="AU150" s="465">
        <f t="shared" si="9"/>
        <v>1000</v>
      </c>
      <c r="AV150" s="466"/>
    </row>
    <row r="151" spans="2:48" s="26" customFormat="1" x14ac:dyDescent="0.2">
      <c r="B151" s="27">
        <f t="shared" si="11"/>
        <v>135</v>
      </c>
      <c r="C151" s="447" t="s">
        <v>39</v>
      </c>
      <c r="D151" s="448">
        <v>30452822</v>
      </c>
      <c r="E151" s="449" t="s">
        <v>2213</v>
      </c>
      <c r="F151" s="450" t="s">
        <v>147</v>
      </c>
      <c r="G151" s="451" t="s">
        <v>2025</v>
      </c>
      <c r="H151" s="472" t="s">
        <v>2150</v>
      </c>
      <c r="I151" s="452" t="s">
        <v>57</v>
      </c>
      <c r="J151" s="453">
        <v>897396</v>
      </c>
      <c r="K151" s="467">
        <v>634691</v>
      </c>
      <c r="L151" s="456">
        <v>261705</v>
      </c>
      <c r="M151" s="456">
        <v>0</v>
      </c>
      <c r="N151" s="456">
        <v>0</v>
      </c>
      <c r="O151" s="456">
        <v>0</v>
      </c>
      <c r="P151" s="456"/>
      <c r="Q151" s="456"/>
      <c r="R151" s="456"/>
      <c r="S151" s="456"/>
      <c r="T151" s="456"/>
      <c r="U151" s="456"/>
      <c r="V151" s="456"/>
      <c r="W151" s="456"/>
      <c r="X151" s="456"/>
      <c r="Y151" s="456">
        <f t="shared" si="10"/>
        <v>0</v>
      </c>
      <c r="Z151" s="457">
        <v>1000</v>
      </c>
      <c r="AA151" s="468" t="s">
        <v>2020</v>
      </c>
      <c r="AB151" s="459">
        <v>44232</v>
      </c>
      <c r="AC151" s="464">
        <v>44251</v>
      </c>
      <c r="AD151" s="457"/>
      <c r="AE151" s="469"/>
      <c r="AF151" s="463"/>
      <c r="AG151" s="464"/>
      <c r="AH151" s="457"/>
      <c r="AI151" s="468"/>
      <c r="AJ151" s="463"/>
      <c r="AK151" s="464"/>
      <c r="AL151" s="457"/>
      <c r="AM151" s="468"/>
      <c r="AN151" s="463"/>
      <c r="AO151" s="464"/>
      <c r="AP151" s="457"/>
      <c r="AQ151" s="468"/>
      <c r="AR151" s="463"/>
      <c r="AS151" s="464"/>
      <c r="AT151" s="37">
        <f t="shared" si="8"/>
        <v>1000</v>
      </c>
      <c r="AU151" s="465">
        <f t="shared" si="9"/>
        <v>1000</v>
      </c>
      <c r="AV151" s="466"/>
    </row>
    <row r="152" spans="2:48" s="26" customFormat="1" x14ac:dyDescent="0.2">
      <c r="B152" s="27">
        <f t="shared" si="11"/>
        <v>136</v>
      </c>
      <c r="C152" s="447" t="s">
        <v>39</v>
      </c>
      <c r="D152" s="448">
        <v>30452825</v>
      </c>
      <c r="E152" s="449" t="s">
        <v>2214</v>
      </c>
      <c r="F152" s="450" t="s">
        <v>147</v>
      </c>
      <c r="G152" s="451" t="s">
        <v>2025</v>
      </c>
      <c r="H152" s="472" t="s">
        <v>2078</v>
      </c>
      <c r="I152" s="452" t="s">
        <v>57</v>
      </c>
      <c r="J152" s="453">
        <v>182037</v>
      </c>
      <c r="K152" s="467">
        <v>104150</v>
      </c>
      <c r="L152" s="456">
        <v>76887</v>
      </c>
      <c r="M152" s="456">
        <v>0</v>
      </c>
      <c r="N152" s="456">
        <v>0</v>
      </c>
      <c r="O152" s="456">
        <v>0</v>
      </c>
      <c r="P152" s="456"/>
      <c r="Q152" s="456"/>
      <c r="R152" s="456"/>
      <c r="S152" s="456"/>
      <c r="T152" s="456"/>
      <c r="U152" s="456"/>
      <c r="V152" s="456"/>
      <c r="W152" s="456"/>
      <c r="X152" s="456"/>
      <c r="Y152" s="456">
        <f t="shared" si="10"/>
        <v>0</v>
      </c>
      <c r="Z152" s="457">
        <v>1000</v>
      </c>
      <c r="AA152" s="468" t="s">
        <v>2020</v>
      </c>
      <c r="AB152" s="459">
        <v>44232</v>
      </c>
      <c r="AC152" s="464">
        <v>44251</v>
      </c>
      <c r="AD152" s="457"/>
      <c r="AE152" s="469"/>
      <c r="AF152" s="463"/>
      <c r="AG152" s="464"/>
      <c r="AH152" s="457"/>
      <c r="AI152" s="468"/>
      <c r="AJ152" s="463"/>
      <c r="AK152" s="464"/>
      <c r="AL152" s="457"/>
      <c r="AM152" s="468"/>
      <c r="AN152" s="463"/>
      <c r="AO152" s="464"/>
      <c r="AP152" s="457"/>
      <c r="AQ152" s="468"/>
      <c r="AR152" s="463"/>
      <c r="AS152" s="464"/>
      <c r="AT152" s="37">
        <f t="shared" si="8"/>
        <v>1000</v>
      </c>
      <c r="AU152" s="465">
        <f t="shared" si="9"/>
        <v>1000</v>
      </c>
      <c r="AV152" s="466"/>
    </row>
    <row r="153" spans="2:48" s="26" customFormat="1" x14ac:dyDescent="0.2">
      <c r="B153" s="27">
        <f t="shared" si="11"/>
        <v>137</v>
      </c>
      <c r="C153" s="447" t="s">
        <v>39</v>
      </c>
      <c r="D153" s="448">
        <v>30452873</v>
      </c>
      <c r="E153" s="449" t="s">
        <v>2215</v>
      </c>
      <c r="F153" s="450" t="s">
        <v>147</v>
      </c>
      <c r="G153" s="451" t="s">
        <v>2025</v>
      </c>
      <c r="H153" s="472" t="s">
        <v>2209</v>
      </c>
      <c r="I153" s="452" t="s">
        <v>57</v>
      </c>
      <c r="J153" s="453">
        <v>153185</v>
      </c>
      <c r="K153" s="467">
        <v>2498</v>
      </c>
      <c r="L153" s="456">
        <v>25419</v>
      </c>
      <c r="M153" s="456">
        <v>0</v>
      </c>
      <c r="N153" s="456">
        <v>0</v>
      </c>
      <c r="O153" s="456">
        <v>0</v>
      </c>
      <c r="P153" s="456"/>
      <c r="Q153" s="456"/>
      <c r="R153" s="456"/>
      <c r="S153" s="456"/>
      <c r="T153" s="456"/>
      <c r="U153" s="456"/>
      <c r="V153" s="456"/>
      <c r="W153" s="456"/>
      <c r="X153" s="456"/>
      <c r="Y153" s="456">
        <f t="shared" si="10"/>
        <v>0</v>
      </c>
      <c r="Z153" s="457">
        <v>125000</v>
      </c>
      <c r="AA153" s="468" t="s">
        <v>2020</v>
      </c>
      <c r="AB153" s="459">
        <v>44232</v>
      </c>
      <c r="AC153" s="464">
        <v>44251</v>
      </c>
      <c r="AD153" s="457"/>
      <c r="AE153" s="469"/>
      <c r="AF153" s="463"/>
      <c r="AG153" s="464"/>
      <c r="AH153" s="457"/>
      <c r="AI153" s="468"/>
      <c r="AJ153" s="463"/>
      <c r="AK153" s="464"/>
      <c r="AL153" s="457"/>
      <c r="AM153" s="468"/>
      <c r="AN153" s="463"/>
      <c r="AO153" s="464"/>
      <c r="AP153" s="457"/>
      <c r="AQ153" s="468"/>
      <c r="AR153" s="463"/>
      <c r="AS153" s="464"/>
      <c r="AT153" s="37">
        <f t="shared" si="8"/>
        <v>125000</v>
      </c>
      <c r="AU153" s="465">
        <f t="shared" si="9"/>
        <v>125000</v>
      </c>
      <c r="AV153" s="466"/>
    </row>
    <row r="154" spans="2:48" s="26" customFormat="1" x14ac:dyDescent="0.2">
      <c r="B154" s="27">
        <f t="shared" si="11"/>
        <v>138</v>
      </c>
      <c r="C154" s="447" t="s">
        <v>39</v>
      </c>
      <c r="D154" s="448">
        <v>30452874</v>
      </c>
      <c r="E154" s="449" t="s">
        <v>2216</v>
      </c>
      <c r="F154" s="450" t="s">
        <v>147</v>
      </c>
      <c r="G154" s="451" t="s">
        <v>2025</v>
      </c>
      <c r="H154" s="472" t="s">
        <v>2094</v>
      </c>
      <c r="I154" s="452" t="s">
        <v>57</v>
      </c>
      <c r="J154" s="453">
        <v>312917</v>
      </c>
      <c r="K154" s="467">
        <v>205852</v>
      </c>
      <c r="L154" s="456">
        <v>106065</v>
      </c>
      <c r="M154" s="456">
        <v>0</v>
      </c>
      <c r="N154" s="456">
        <v>0</v>
      </c>
      <c r="O154" s="456">
        <v>0</v>
      </c>
      <c r="P154" s="456"/>
      <c r="Q154" s="456"/>
      <c r="R154" s="456"/>
      <c r="S154" s="456"/>
      <c r="T154" s="456"/>
      <c r="U154" s="456"/>
      <c r="V154" s="456"/>
      <c r="W154" s="456"/>
      <c r="X154" s="456"/>
      <c r="Y154" s="456">
        <f t="shared" si="10"/>
        <v>0</v>
      </c>
      <c r="Z154" s="457">
        <v>1000</v>
      </c>
      <c r="AA154" s="468" t="s">
        <v>2020</v>
      </c>
      <c r="AB154" s="459">
        <v>44232</v>
      </c>
      <c r="AC154" s="464">
        <v>44251</v>
      </c>
      <c r="AD154" s="457"/>
      <c r="AE154" s="469"/>
      <c r="AF154" s="463"/>
      <c r="AG154" s="464"/>
      <c r="AH154" s="457"/>
      <c r="AI154" s="468"/>
      <c r="AJ154" s="463"/>
      <c r="AK154" s="464"/>
      <c r="AL154" s="457"/>
      <c r="AM154" s="468"/>
      <c r="AN154" s="463"/>
      <c r="AO154" s="464"/>
      <c r="AP154" s="457"/>
      <c r="AQ154" s="468"/>
      <c r="AR154" s="463"/>
      <c r="AS154" s="464"/>
      <c r="AT154" s="37">
        <f t="shared" si="8"/>
        <v>1000</v>
      </c>
      <c r="AU154" s="465">
        <f t="shared" si="9"/>
        <v>1000</v>
      </c>
      <c r="AV154" s="466"/>
    </row>
    <row r="155" spans="2:48" s="26" customFormat="1" x14ac:dyDescent="0.2">
      <c r="B155" s="27">
        <f t="shared" si="11"/>
        <v>139</v>
      </c>
      <c r="C155" s="447" t="s">
        <v>39</v>
      </c>
      <c r="D155" s="448">
        <v>30452875</v>
      </c>
      <c r="E155" s="449" t="s">
        <v>2217</v>
      </c>
      <c r="F155" s="450" t="s">
        <v>147</v>
      </c>
      <c r="G155" s="451" t="s">
        <v>2025</v>
      </c>
      <c r="H155" s="472" t="s">
        <v>2070</v>
      </c>
      <c r="I155" s="452" t="s">
        <v>72</v>
      </c>
      <c r="J155" s="453">
        <v>1179952</v>
      </c>
      <c r="K155" s="471">
        <v>2989</v>
      </c>
      <c r="L155" s="455">
        <v>1176648</v>
      </c>
      <c r="M155" s="456">
        <v>0</v>
      </c>
      <c r="N155" s="456">
        <v>0</v>
      </c>
      <c r="O155" s="456">
        <v>0</v>
      </c>
      <c r="P155" s="456"/>
      <c r="Q155" s="456"/>
      <c r="R155" s="456"/>
      <c r="S155" s="456"/>
      <c r="T155" s="456"/>
      <c r="U155" s="456"/>
      <c r="V155" s="456"/>
      <c r="W155" s="456"/>
      <c r="X155" s="456"/>
      <c r="Y155" s="456">
        <f t="shared" si="10"/>
        <v>0</v>
      </c>
      <c r="Z155" s="457">
        <v>1</v>
      </c>
      <c r="AA155" s="468" t="s">
        <v>2037</v>
      </c>
      <c r="AB155" s="459">
        <v>44222</v>
      </c>
      <c r="AC155" s="464">
        <v>44225</v>
      </c>
      <c r="AD155" s="457"/>
      <c r="AE155" s="469"/>
      <c r="AF155" s="463"/>
      <c r="AG155" s="464"/>
      <c r="AH155" s="457"/>
      <c r="AI155" s="468"/>
      <c r="AJ155" s="463"/>
      <c r="AK155" s="464"/>
      <c r="AL155" s="457"/>
      <c r="AM155" s="468"/>
      <c r="AN155" s="463"/>
      <c r="AO155" s="464"/>
      <c r="AP155" s="457"/>
      <c r="AQ155" s="468"/>
      <c r="AR155" s="463"/>
      <c r="AS155" s="464"/>
      <c r="AT155" s="37">
        <f t="shared" si="8"/>
        <v>1</v>
      </c>
      <c r="AU155" s="465">
        <f t="shared" si="9"/>
        <v>1</v>
      </c>
      <c r="AV155" s="466"/>
    </row>
    <row r="156" spans="2:48" s="26" customFormat="1" x14ac:dyDescent="0.2">
      <c r="B156" s="27">
        <f t="shared" si="11"/>
        <v>140</v>
      </c>
      <c r="C156" s="447" t="s">
        <v>39</v>
      </c>
      <c r="D156" s="448">
        <v>30452877</v>
      </c>
      <c r="E156" s="449" t="s">
        <v>2218</v>
      </c>
      <c r="F156" s="450" t="s">
        <v>147</v>
      </c>
      <c r="G156" s="451" t="s">
        <v>2025</v>
      </c>
      <c r="H156" s="472" t="s">
        <v>2099</v>
      </c>
      <c r="I156" s="452" t="s">
        <v>57</v>
      </c>
      <c r="J156" s="453">
        <v>343986</v>
      </c>
      <c r="K156" s="467">
        <v>2489</v>
      </c>
      <c r="L156" s="456">
        <v>101219</v>
      </c>
      <c r="M156" s="456">
        <v>0</v>
      </c>
      <c r="N156" s="456">
        <v>0</v>
      </c>
      <c r="O156" s="456">
        <v>0</v>
      </c>
      <c r="P156" s="456"/>
      <c r="Q156" s="456"/>
      <c r="R156" s="456"/>
      <c r="S156" s="456"/>
      <c r="T156" s="456"/>
      <c r="U156" s="456"/>
      <c r="V156" s="456"/>
      <c r="W156" s="456"/>
      <c r="X156" s="456"/>
      <c r="Y156" s="456">
        <f t="shared" si="10"/>
        <v>0</v>
      </c>
      <c r="Z156" s="457">
        <v>240000</v>
      </c>
      <c r="AA156" s="468" t="s">
        <v>2020</v>
      </c>
      <c r="AB156" s="459">
        <v>44232</v>
      </c>
      <c r="AC156" s="464">
        <v>44251</v>
      </c>
      <c r="AD156" s="457"/>
      <c r="AE156" s="469"/>
      <c r="AF156" s="463"/>
      <c r="AG156" s="464"/>
      <c r="AH156" s="457"/>
      <c r="AI156" s="468"/>
      <c r="AJ156" s="463"/>
      <c r="AK156" s="464"/>
      <c r="AL156" s="457"/>
      <c r="AM156" s="468"/>
      <c r="AN156" s="463"/>
      <c r="AO156" s="464"/>
      <c r="AP156" s="457"/>
      <c r="AQ156" s="468"/>
      <c r="AR156" s="463"/>
      <c r="AS156" s="464"/>
      <c r="AT156" s="37">
        <f t="shared" si="8"/>
        <v>240000</v>
      </c>
      <c r="AU156" s="465">
        <f t="shared" si="9"/>
        <v>240000</v>
      </c>
      <c r="AV156" s="466"/>
    </row>
    <row r="157" spans="2:48" s="26" customFormat="1" x14ac:dyDescent="0.2">
      <c r="B157" s="27">
        <f t="shared" si="11"/>
        <v>141</v>
      </c>
      <c r="C157" s="447" t="s">
        <v>39</v>
      </c>
      <c r="D157" s="448">
        <v>30452973</v>
      </c>
      <c r="E157" s="449" t="s">
        <v>2219</v>
      </c>
      <c r="F157" s="450" t="s">
        <v>147</v>
      </c>
      <c r="G157" s="451" t="s">
        <v>2025</v>
      </c>
      <c r="H157" s="472" t="s">
        <v>2044</v>
      </c>
      <c r="I157" s="452" t="s">
        <v>57</v>
      </c>
      <c r="J157" s="453">
        <v>647804</v>
      </c>
      <c r="K157" s="467">
        <v>514290</v>
      </c>
      <c r="L157" s="456">
        <v>132514</v>
      </c>
      <c r="M157" s="456">
        <v>0</v>
      </c>
      <c r="N157" s="456">
        <v>0</v>
      </c>
      <c r="O157" s="456">
        <v>0</v>
      </c>
      <c r="P157" s="456"/>
      <c r="Q157" s="456"/>
      <c r="R157" s="456"/>
      <c r="S157" s="456"/>
      <c r="T157" s="456"/>
      <c r="U157" s="456"/>
      <c r="V157" s="456"/>
      <c r="W157" s="456"/>
      <c r="X157" s="456"/>
      <c r="Y157" s="456">
        <f t="shared" si="10"/>
        <v>0</v>
      </c>
      <c r="Z157" s="457">
        <v>1000</v>
      </c>
      <c r="AA157" s="468" t="s">
        <v>2020</v>
      </c>
      <c r="AB157" s="459">
        <v>44232</v>
      </c>
      <c r="AC157" s="464">
        <v>44251</v>
      </c>
      <c r="AD157" s="457"/>
      <c r="AE157" s="469"/>
      <c r="AF157" s="463"/>
      <c r="AG157" s="464"/>
      <c r="AH157" s="457"/>
      <c r="AI157" s="468"/>
      <c r="AJ157" s="463"/>
      <c r="AK157" s="464"/>
      <c r="AL157" s="457"/>
      <c r="AM157" s="468"/>
      <c r="AN157" s="463"/>
      <c r="AO157" s="464"/>
      <c r="AP157" s="457"/>
      <c r="AQ157" s="468"/>
      <c r="AR157" s="463"/>
      <c r="AS157" s="464"/>
      <c r="AT157" s="37">
        <f t="shared" si="8"/>
        <v>1000</v>
      </c>
      <c r="AU157" s="465">
        <f t="shared" si="9"/>
        <v>1000</v>
      </c>
      <c r="AV157" s="466"/>
    </row>
    <row r="158" spans="2:48" s="26" customFormat="1" x14ac:dyDescent="0.2">
      <c r="B158" s="27">
        <f t="shared" si="11"/>
        <v>142</v>
      </c>
      <c r="C158" s="447" t="s">
        <v>39</v>
      </c>
      <c r="D158" s="448">
        <v>30453022</v>
      </c>
      <c r="E158" s="449" t="s">
        <v>2220</v>
      </c>
      <c r="F158" s="450" t="s">
        <v>147</v>
      </c>
      <c r="G158" s="451" t="s">
        <v>2025</v>
      </c>
      <c r="H158" s="472" t="s">
        <v>2048</v>
      </c>
      <c r="I158" s="452" t="s">
        <v>72</v>
      </c>
      <c r="J158" s="453">
        <v>382766</v>
      </c>
      <c r="K158" s="467">
        <v>2498</v>
      </c>
      <c r="L158" s="456">
        <v>379999</v>
      </c>
      <c r="M158" s="456">
        <v>0</v>
      </c>
      <c r="N158" s="456">
        <v>0</v>
      </c>
      <c r="O158" s="456">
        <v>0</v>
      </c>
      <c r="P158" s="456"/>
      <c r="Q158" s="456"/>
      <c r="R158" s="456"/>
      <c r="S158" s="456"/>
      <c r="T158" s="456"/>
      <c r="U158" s="456"/>
      <c r="V158" s="456"/>
      <c r="W158" s="456"/>
      <c r="X158" s="456"/>
      <c r="Y158" s="456">
        <f t="shared" si="10"/>
        <v>0</v>
      </c>
      <c r="Z158" s="457">
        <v>1</v>
      </c>
      <c r="AA158" s="468" t="s">
        <v>2020</v>
      </c>
      <c r="AB158" s="459">
        <v>44232</v>
      </c>
      <c r="AC158" s="464">
        <v>44251</v>
      </c>
      <c r="AD158" s="457"/>
      <c r="AE158" s="469"/>
      <c r="AF158" s="463"/>
      <c r="AG158" s="464"/>
      <c r="AH158" s="457"/>
      <c r="AI158" s="468"/>
      <c r="AJ158" s="463"/>
      <c r="AK158" s="464"/>
      <c r="AL158" s="457"/>
      <c r="AM158" s="468"/>
      <c r="AN158" s="463"/>
      <c r="AO158" s="464"/>
      <c r="AP158" s="457"/>
      <c r="AQ158" s="468"/>
      <c r="AR158" s="463"/>
      <c r="AS158" s="464"/>
      <c r="AT158" s="37">
        <f t="shared" si="8"/>
        <v>1</v>
      </c>
      <c r="AU158" s="465">
        <f t="shared" si="9"/>
        <v>1</v>
      </c>
      <c r="AV158" s="466"/>
    </row>
    <row r="159" spans="2:48" s="26" customFormat="1" x14ac:dyDescent="0.2">
      <c r="B159" s="27">
        <f t="shared" si="11"/>
        <v>143</v>
      </c>
      <c r="C159" s="447" t="s">
        <v>39</v>
      </c>
      <c r="D159" s="448">
        <v>30454226</v>
      </c>
      <c r="E159" s="449" t="s">
        <v>2221</v>
      </c>
      <c r="F159" s="450" t="s">
        <v>147</v>
      </c>
      <c r="G159" s="451" t="s">
        <v>2025</v>
      </c>
      <c r="H159" s="472" t="s">
        <v>2076</v>
      </c>
      <c r="I159" s="452" t="s">
        <v>57</v>
      </c>
      <c r="J159" s="454">
        <v>308264</v>
      </c>
      <c r="K159" s="453">
        <v>287390</v>
      </c>
      <c r="L159" s="456">
        <v>0</v>
      </c>
      <c r="M159" s="456">
        <v>0</v>
      </c>
      <c r="N159" s="456">
        <v>0</v>
      </c>
      <c r="O159" s="456">
        <v>0</v>
      </c>
      <c r="P159" s="456"/>
      <c r="Q159" s="456"/>
      <c r="R159" s="456"/>
      <c r="S159" s="456"/>
      <c r="T159" s="456"/>
      <c r="U159" s="456"/>
      <c r="V159" s="456"/>
      <c r="W159" s="456"/>
      <c r="X159" s="456"/>
      <c r="Y159" s="456">
        <f t="shared" si="10"/>
        <v>0</v>
      </c>
      <c r="Z159" s="457">
        <v>19896</v>
      </c>
      <c r="AA159" s="468" t="s">
        <v>2060</v>
      </c>
      <c r="AB159" s="459">
        <v>44237</v>
      </c>
      <c r="AC159" s="464">
        <v>44251</v>
      </c>
      <c r="AD159" s="457"/>
      <c r="AE159" s="469"/>
      <c r="AF159" s="463"/>
      <c r="AG159" s="464"/>
      <c r="AH159" s="457"/>
      <c r="AI159" s="468"/>
      <c r="AJ159" s="463"/>
      <c r="AK159" s="464"/>
      <c r="AL159" s="457"/>
      <c r="AM159" s="468"/>
      <c r="AN159" s="463"/>
      <c r="AO159" s="464"/>
      <c r="AP159" s="457"/>
      <c r="AQ159" s="468"/>
      <c r="AR159" s="463"/>
      <c r="AS159" s="464"/>
      <c r="AT159" s="37">
        <f t="shared" si="8"/>
        <v>19896</v>
      </c>
      <c r="AU159" s="465">
        <f t="shared" si="9"/>
        <v>19896</v>
      </c>
      <c r="AV159" s="466"/>
    </row>
    <row r="160" spans="2:48" s="26" customFormat="1" x14ac:dyDescent="0.2">
      <c r="B160" s="27">
        <f t="shared" si="11"/>
        <v>144</v>
      </c>
      <c r="C160" s="447" t="s">
        <v>39</v>
      </c>
      <c r="D160" s="448">
        <v>30454423</v>
      </c>
      <c r="E160" s="449" t="s">
        <v>2222</v>
      </c>
      <c r="F160" s="450" t="s">
        <v>147</v>
      </c>
      <c r="G160" s="451" t="s">
        <v>2025</v>
      </c>
      <c r="H160" s="472" t="s">
        <v>2108</v>
      </c>
      <c r="I160" s="452" t="s">
        <v>72</v>
      </c>
      <c r="J160" s="453">
        <v>801828</v>
      </c>
      <c r="K160" s="471">
        <v>2966</v>
      </c>
      <c r="L160" s="455">
        <v>797525</v>
      </c>
      <c r="M160" s="456">
        <v>0</v>
      </c>
      <c r="N160" s="456">
        <v>0</v>
      </c>
      <c r="O160" s="456">
        <v>0</v>
      </c>
      <c r="P160" s="456"/>
      <c r="Q160" s="456"/>
      <c r="R160" s="456"/>
      <c r="S160" s="456"/>
      <c r="T160" s="456"/>
      <c r="U160" s="456"/>
      <c r="V160" s="456"/>
      <c r="W160" s="456"/>
      <c r="X160" s="456"/>
      <c r="Y160" s="456">
        <f t="shared" si="10"/>
        <v>0</v>
      </c>
      <c r="Z160" s="457">
        <v>1000</v>
      </c>
      <c r="AA160" s="468" t="s">
        <v>2037</v>
      </c>
      <c r="AB160" s="459">
        <v>44222</v>
      </c>
      <c r="AC160" s="464">
        <v>44225</v>
      </c>
      <c r="AD160" s="457"/>
      <c r="AE160" s="469"/>
      <c r="AF160" s="463"/>
      <c r="AG160" s="464"/>
      <c r="AH160" s="457"/>
      <c r="AI160" s="468"/>
      <c r="AJ160" s="463"/>
      <c r="AK160" s="464"/>
      <c r="AL160" s="457"/>
      <c r="AM160" s="468"/>
      <c r="AN160" s="463"/>
      <c r="AO160" s="464"/>
      <c r="AP160" s="457"/>
      <c r="AQ160" s="468"/>
      <c r="AR160" s="463"/>
      <c r="AS160" s="464"/>
      <c r="AT160" s="37">
        <f t="shared" si="8"/>
        <v>1000</v>
      </c>
      <c r="AU160" s="465">
        <f t="shared" si="9"/>
        <v>1000</v>
      </c>
      <c r="AV160" s="466"/>
    </row>
    <row r="161" spans="2:48" s="26" customFormat="1" x14ac:dyDescent="0.2">
      <c r="B161" s="27">
        <f t="shared" si="11"/>
        <v>145</v>
      </c>
      <c r="C161" s="447" t="s">
        <v>39</v>
      </c>
      <c r="D161" s="448">
        <v>30455672</v>
      </c>
      <c r="E161" s="449" t="s">
        <v>2223</v>
      </c>
      <c r="F161" s="450" t="s">
        <v>147</v>
      </c>
      <c r="G161" s="451" t="s">
        <v>2025</v>
      </c>
      <c r="H161" s="472" t="s">
        <v>2051</v>
      </c>
      <c r="I161" s="452" t="s">
        <v>57</v>
      </c>
      <c r="J161" s="481">
        <v>768364</v>
      </c>
      <c r="K161" s="482">
        <v>448396</v>
      </c>
      <c r="L161" s="456">
        <v>0</v>
      </c>
      <c r="M161" s="456">
        <v>0</v>
      </c>
      <c r="N161" s="456">
        <v>69570</v>
      </c>
      <c r="O161" s="456">
        <v>46070</v>
      </c>
      <c r="P161" s="456"/>
      <c r="Q161" s="456"/>
      <c r="R161" s="456"/>
      <c r="S161" s="456"/>
      <c r="T161" s="456"/>
      <c r="U161" s="456"/>
      <c r="V161" s="456"/>
      <c r="W161" s="456"/>
      <c r="X161" s="456"/>
      <c r="Y161" s="456">
        <f t="shared" si="10"/>
        <v>115640</v>
      </c>
      <c r="Z161" s="457">
        <v>315291</v>
      </c>
      <c r="AA161" s="468" t="s">
        <v>2060</v>
      </c>
      <c r="AB161" s="459">
        <v>44237</v>
      </c>
      <c r="AC161" s="464">
        <v>44251</v>
      </c>
      <c r="AD161" s="457"/>
      <c r="AE161" s="469"/>
      <c r="AF161" s="463"/>
      <c r="AG161" s="464"/>
      <c r="AH161" s="457"/>
      <c r="AI161" s="468"/>
      <c r="AJ161" s="463"/>
      <c r="AK161" s="464"/>
      <c r="AL161" s="457"/>
      <c r="AM161" s="468"/>
      <c r="AN161" s="463"/>
      <c r="AO161" s="464"/>
      <c r="AP161" s="457"/>
      <c r="AQ161" s="468"/>
      <c r="AR161" s="463"/>
      <c r="AS161" s="464"/>
      <c r="AT161" s="37">
        <f t="shared" si="8"/>
        <v>315291</v>
      </c>
      <c r="AU161" s="465">
        <f t="shared" si="9"/>
        <v>199651</v>
      </c>
      <c r="AV161" s="466"/>
    </row>
    <row r="162" spans="2:48" s="26" customFormat="1" x14ac:dyDescent="0.2">
      <c r="B162" s="27">
        <f t="shared" si="11"/>
        <v>146</v>
      </c>
      <c r="C162" s="447" t="s">
        <v>39</v>
      </c>
      <c r="D162" s="448">
        <v>30458537</v>
      </c>
      <c r="E162" s="449" t="s">
        <v>2224</v>
      </c>
      <c r="F162" s="450" t="s">
        <v>147</v>
      </c>
      <c r="G162" s="451" t="s">
        <v>2025</v>
      </c>
      <c r="H162" s="472" t="s">
        <v>2209</v>
      </c>
      <c r="I162" s="452" t="s">
        <v>57</v>
      </c>
      <c r="J162" s="453">
        <v>1775313</v>
      </c>
      <c r="K162" s="467">
        <v>1666608</v>
      </c>
      <c r="L162" s="456">
        <v>0</v>
      </c>
      <c r="M162" s="456">
        <v>0</v>
      </c>
      <c r="N162" s="456">
        <v>0</v>
      </c>
      <c r="O162" s="456">
        <v>0</v>
      </c>
      <c r="P162" s="456"/>
      <c r="Q162" s="456"/>
      <c r="R162" s="456"/>
      <c r="S162" s="456"/>
      <c r="T162" s="456"/>
      <c r="U162" s="456"/>
      <c r="V162" s="456"/>
      <c r="W162" s="456"/>
      <c r="X162" s="456"/>
      <c r="Y162" s="456">
        <f t="shared" si="10"/>
        <v>0</v>
      </c>
      <c r="Z162" s="457">
        <v>40617</v>
      </c>
      <c r="AA162" s="468" t="s">
        <v>2084</v>
      </c>
      <c r="AB162" s="459">
        <v>44259</v>
      </c>
      <c r="AC162" s="464">
        <v>44274</v>
      </c>
      <c r="AD162" s="457"/>
      <c r="AE162" s="469"/>
      <c r="AF162" s="463"/>
      <c r="AG162" s="464"/>
      <c r="AH162" s="457"/>
      <c r="AI162" s="468"/>
      <c r="AJ162" s="463"/>
      <c r="AK162" s="464"/>
      <c r="AL162" s="457"/>
      <c r="AM162" s="468"/>
      <c r="AN162" s="463"/>
      <c r="AO162" s="464"/>
      <c r="AP162" s="457"/>
      <c r="AQ162" s="468"/>
      <c r="AR162" s="463"/>
      <c r="AS162" s="464"/>
      <c r="AT162" s="37">
        <f t="shared" si="8"/>
        <v>40617</v>
      </c>
      <c r="AU162" s="465">
        <f t="shared" si="9"/>
        <v>40617</v>
      </c>
      <c r="AV162" s="466"/>
    </row>
    <row r="163" spans="2:48" s="26" customFormat="1" x14ac:dyDescent="0.2">
      <c r="B163" s="27">
        <f t="shared" si="11"/>
        <v>147</v>
      </c>
      <c r="C163" s="447" t="s">
        <v>39</v>
      </c>
      <c r="D163" s="448">
        <v>30463384</v>
      </c>
      <c r="E163" s="449" t="s">
        <v>2225</v>
      </c>
      <c r="F163" s="450" t="s">
        <v>193</v>
      </c>
      <c r="G163" s="451" t="s">
        <v>2025</v>
      </c>
      <c r="H163" s="472" t="s">
        <v>2048</v>
      </c>
      <c r="I163" s="452" t="s">
        <v>57</v>
      </c>
      <c r="J163" s="454">
        <v>131936</v>
      </c>
      <c r="K163" s="453">
        <v>87167</v>
      </c>
      <c r="L163" s="456">
        <v>0</v>
      </c>
      <c r="M163" s="456">
        <v>0</v>
      </c>
      <c r="N163" s="456">
        <v>0</v>
      </c>
      <c r="O163" s="456">
        <v>0</v>
      </c>
      <c r="P163" s="456"/>
      <c r="Q163" s="456"/>
      <c r="R163" s="456"/>
      <c r="S163" s="456"/>
      <c r="T163" s="456"/>
      <c r="U163" s="456"/>
      <c r="V163" s="456"/>
      <c r="W163" s="456"/>
      <c r="X163" s="456"/>
      <c r="Y163" s="456">
        <f t="shared" si="10"/>
        <v>0</v>
      </c>
      <c r="Z163" s="457">
        <v>44769</v>
      </c>
      <c r="AA163" s="468" t="s">
        <v>2060</v>
      </c>
      <c r="AB163" s="459">
        <v>44237</v>
      </c>
      <c r="AC163" s="464">
        <v>44251</v>
      </c>
      <c r="AD163" s="457"/>
      <c r="AE163" s="469"/>
      <c r="AF163" s="463"/>
      <c r="AG163" s="464"/>
      <c r="AH163" s="457"/>
      <c r="AI163" s="468"/>
      <c r="AJ163" s="463"/>
      <c r="AK163" s="464"/>
      <c r="AL163" s="457"/>
      <c r="AM163" s="468"/>
      <c r="AN163" s="463"/>
      <c r="AO163" s="464"/>
      <c r="AP163" s="457"/>
      <c r="AQ163" s="468"/>
      <c r="AR163" s="463"/>
      <c r="AS163" s="464"/>
      <c r="AT163" s="37">
        <f t="shared" si="8"/>
        <v>44769</v>
      </c>
      <c r="AU163" s="465">
        <f t="shared" si="9"/>
        <v>44769</v>
      </c>
      <c r="AV163" s="466"/>
    </row>
    <row r="164" spans="2:48" s="26" customFormat="1" x14ac:dyDescent="0.2">
      <c r="B164" s="27">
        <f t="shared" si="11"/>
        <v>148</v>
      </c>
      <c r="C164" s="447" t="s">
        <v>39</v>
      </c>
      <c r="D164" s="448">
        <v>30463801</v>
      </c>
      <c r="E164" s="449" t="s">
        <v>2226</v>
      </c>
      <c r="F164" s="450" t="s">
        <v>147</v>
      </c>
      <c r="G164" s="451" t="s">
        <v>2025</v>
      </c>
      <c r="H164" s="472" t="s">
        <v>2099</v>
      </c>
      <c r="I164" s="452" t="s">
        <v>57</v>
      </c>
      <c r="J164" s="454">
        <v>1519701</v>
      </c>
      <c r="K164" s="453">
        <v>1445844</v>
      </c>
      <c r="L164" s="456">
        <v>0</v>
      </c>
      <c r="M164" s="456">
        <v>0</v>
      </c>
      <c r="N164" s="456">
        <v>0</v>
      </c>
      <c r="O164" s="456">
        <v>0</v>
      </c>
      <c r="P164" s="456"/>
      <c r="Q164" s="456"/>
      <c r="R164" s="456"/>
      <c r="S164" s="456"/>
      <c r="T164" s="456"/>
      <c r="U164" s="456"/>
      <c r="V164" s="456"/>
      <c r="W164" s="456"/>
      <c r="X164" s="456"/>
      <c r="Y164" s="456">
        <f t="shared" si="10"/>
        <v>0</v>
      </c>
      <c r="Z164" s="457">
        <v>73857</v>
      </c>
      <c r="AA164" s="468" t="s">
        <v>2060</v>
      </c>
      <c r="AB164" s="459">
        <v>44237</v>
      </c>
      <c r="AC164" s="464">
        <v>44251</v>
      </c>
      <c r="AD164" s="457"/>
      <c r="AE164" s="469"/>
      <c r="AF164" s="463"/>
      <c r="AG164" s="464"/>
      <c r="AH164" s="457"/>
      <c r="AI164" s="468"/>
      <c r="AJ164" s="463"/>
      <c r="AK164" s="464"/>
      <c r="AL164" s="457"/>
      <c r="AM164" s="468"/>
      <c r="AN164" s="463"/>
      <c r="AO164" s="464"/>
      <c r="AP164" s="457"/>
      <c r="AQ164" s="468"/>
      <c r="AR164" s="463"/>
      <c r="AS164" s="464"/>
      <c r="AT164" s="37">
        <f t="shared" si="8"/>
        <v>73857</v>
      </c>
      <c r="AU164" s="465">
        <f t="shared" si="9"/>
        <v>73857</v>
      </c>
      <c r="AV164" s="466"/>
    </row>
    <row r="165" spans="2:48" s="26" customFormat="1" x14ac:dyDescent="0.2">
      <c r="B165" s="27">
        <f t="shared" si="11"/>
        <v>149</v>
      </c>
      <c r="C165" s="447" t="s">
        <v>39</v>
      </c>
      <c r="D165" s="448">
        <v>30464096</v>
      </c>
      <c r="E165" s="449" t="s">
        <v>2227</v>
      </c>
      <c r="F165" s="450" t="s">
        <v>147</v>
      </c>
      <c r="G165" s="451" t="s">
        <v>2025</v>
      </c>
      <c r="H165" s="472" t="s">
        <v>2228</v>
      </c>
      <c r="I165" s="452" t="s">
        <v>72</v>
      </c>
      <c r="J165" s="453">
        <v>771913</v>
      </c>
      <c r="K165" s="471">
        <v>2989</v>
      </c>
      <c r="L165" s="455">
        <v>768608</v>
      </c>
      <c r="M165" s="456">
        <v>0</v>
      </c>
      <c r="N165" s="456">
        <v>0</v>
      </c>
      <c r="O165" s="456">
        <v>0</v>
      </c>
      <c r="P165" s="456"/>
      <c r="Q165" s="456"/>
      <c r="R165" s="456"/>
      <c r="S165" s="456"/>
      <c r="T165" s="456"/>
      <c r="U165" s="456"/>
      <c r="V165" s="456"/>
      <c r="W165" s="456"/>
      <c r="X165" s="456"/>
      <c r="Y165" s="456">
        <f t="shared" si="10"/>
        <v>0</v>
      </c>
      <c r="Z165" s="457">
        <v>1</v>
      </c>
      <c r="AA165" s="468" t="s">
        <v>2037</v>
      </c>
      <c r="AB165" s="459">
        <v>44222</v>
      </c>
      <c r="AC165" s="464">
        <v>44225</v>
      </c>
      <c r="AD165" s="457"/>
      <c r="AE165" s="469"/>
      <c r="AF165" s="463"/>
      <c r="AG165" s="464"/>
      <c r="AH165" s="457"/>
      <c r="AI165" s="468"/>
      <c r="AJ165" s="463"/>
      <c r="AK165" s="464"/>
      <c r="AL165" s="457"/>
      <c r="AM165" s="468"/>
      <c r="AN165" s="463"/>
      <c r="AO165" s="464"/>
      <c r="AP165" s="457"/>
      <c r="AQ165" s="468"/>
      <c r="AR165" s="463"/>
      <c r="AS165" s="464"/>
      <c r="AT165" s="37">
        <f t="shared" si="8"/>
        <v>1</v>
      </c>
      <c r="AU165" s="465">
        <f t="shared" si="9"/>
        <v>1</v>
      </c>
      <c r="AV165" s="466"/>
    </row>
    <row r="166" spans="2:48" s="26" customFormat="1" x14ac:dyDescent="0.2">
      <c r="B166" s="27">
        <f t="shared" si="11"/>
        <v>150</v>
      </c>
      <c r="C166" s="447" t="s">
        <v>39</v>
      </c>
      <c r="D166" s="448">
        <v>30464197</v>
      </c>
      <c r="E166" s="449" t="s">
        <v>2229</v>
      </c>
      <c r="F166" s="450" t="s">
        <v>193</v>
      </c>
      <c r="G166" s="451" t="s">
        <v>2025</v>
      </c>
      <c r="H166" s="472" t="s">
        <v>2048</v>
      </c>
      <c r="I166" s="452" t="s">
        <v>57</v>
      </c>
      <c r="J166" s="454">
        <v>51277</v>
      </c>
      <c r="K166" s="453">
        <v>47297</v>
      </c>
      <c r="L166" s="456">
        <v>0</v>
      </c>
      <c r="M166" s="456">
        <v>0</v>
      </c>
      <c r="N166" s="456">
        <v>500</v>
      </c>
      <c r="O166" s="456">
        <v>0</v>
      </c>
      <c r="P166" s="456"/>
      <c r="Q166" s="456"/>
      <c r="R166" s="456"/>
      <c r="S166" s="456"/>
      <c r="T166" s="456"/>
      <c r="U166" s="456"/>
      <c r="V166" s="456"/>
      <c r="W166" s="456"/>
      <c r="X166" s="456"/>
      <c r="Y166" s="456">
        <f t="shared" si="10"/>
        <v>500</v>
      </c>
      <c r="Z166" s="457">
        <v>3980</v>
      </c>
      <c r="AA166" s="468" t="s">
        <v>2060</v>
      </c>
      <c r="AB166" s="459">
        <v>44237</v>
      </c>
      <c r="AC166" s="464">
        <v>44251</v>
      </c>
      <c r="AD166" s="457"/>
      <c r="AE166" s="469"/>
      <c r="AF166" s="463"/>
      <c r="AG166" s="464"/>
      <c r="AH166" s="457"/>
      <c r="AI166" s="468"/>
      <c r="AJ166" s="463"/>
      <c r="AK166" s="464"/>
      <c r="AL166" s="457"/>
      <c r="AM166" s="468"/>
      <c r="AN166" s="463"/>
      <c r="AO166" s="464"/>
      <c r="AP166" s="457"/>
      <c r="AQ166" s="468"/>
      <c r="AR166" s="463"/>
      <c r="AS166" s="464"/>
      <c r="AT166" s="37">
        <f t="shared" si="8"/>
        <v>3980</v>
      </c>
      <c r="AU166" s="465">
        <f t="shared" si="9"/>
        <v>3480</v>
      </c>
      <c r="AV166" s="466"/>
    </row>
    <row r="167" spans="2:48" s="26" customFormat="1" x14ac:dyDescent="0.2">
      <c r="B167" s="27">
        <f t="shared" si="11"/>
        <v>151</v>
      </c>
      <c r="C167" s="447" t="s">
        <v>39</v>
      </c>
      <c r="D167" s="448">
        <v>30470443</v>
      </c>
      <c r="E167" s="449" t="s">
        <v>2230</v>
      </c>
      <c r="F167" s="450" t="s">
        <v>147</v>
      </c>
      <c r="G167" s="451" t="s">
        <v>2025</v>
      </c>
      <c r="H167" s="472" t="s">
        <v>2072</v>
      </c>
      <c r="I167" s="452" t="s">
        <v>72</v>
      </c>
      <c r="J167" s="453">
        <v>593388</v>
      </c>
      <c r="K167" s="471">
        <v>0</v>
      </c>
      <c r="L167" s="455">
        <v>578720</v>
      </c>
      <c r="M167" s="456">
        <v>0</v>
      </c>
      <c r="N167" s="456">
        <v>0</v>
      </c>
      <c r="O167" s="456">
        <v>0</v>
      </c>
      <c r="P167" s="456"/>
      <c r="Q167" s="456"/>
      <c r="R167" s="456"/>
      <c r="S167" s="456"/>
      <c r="T167" s="456"/>
      <c r="U167" s="456"/>
      <c r="V167" s="456"/>
      <c r="W167" s="456"/>
      <c r="X167" s="456"/>
      <c r="Y167" s="456">
        <f t="shared" si="10"/>
        <v>0</v>
      </c>
      <c r="Z167" s="457">
        <v>14587</v>
      </c>
      <c r="AA167" s="468" t="s">
        <v>2037</v>
      </c>
      <c r="AB167" s="459">
        <v>44222</v>
      </c>
      <c r="AC167" s="464">
        <v>44225</v>
      </c>
      <c r="AD167" s="457"/>
      <c r="AE167" s="469"/>
      <c r="AF167" s="463"/>
      <c r="AG167" s="464"/>
      <c r="AH167" s="457"/>
      <c r="AI167" s="468"/>
      <c r="AJ167" s="463"/>
      <c r="AK167" s="464"/>
      <c r="AL167" s="457"/>
      <c r="AM167" s="468"/>
      <c r="AN167" s="463"/>
      <c r="AO167" s="464"/>
      <c r="AP167" s="457"/>
      <c r="AQ167" s="468"/>
      <c r="AR167" s="463"/>
      <c r="AS167" s="464"/>
      <c r="AT167" s="37">
        <f t="shared" si="8"/>
        <v>14587</v>
      </c>
      <c r="AU167" s="465">
        <f t="shared" si="9"/>
        <v>14587</v>
      </c>
      <c r="AV167" s="466"/>
    </row>
    <row r="168" spans="2:48" s="26" customFormat="1" x14ac:dyDescent="0.2">
      <c r="B168" s="27">
        <f t="shared" si="11"/>
        <v>152</v>
      </c>
      <c r="C168" s="447" t="s">
        <v>39</v>
      </c>
      <c r="D168" s="448">
        <v>30470444</v>
      </c>
      <c r="E168" s="449" t="s">
        <v>2231</v>
      </c>
      <c r="F168" s="450" t="s">
        <v>147</v>
      </c>
      <c r="G168" s="451" t="s">
        <v>2025</v>
      </c>
      <c r="H168" s="472" t="s">
        <v>2108</v>
      </c>
      <c r="I168" s="452" t="s">
        <v>72</v>
      </c>
      <c r="J168" s="453">
        <v>465807</v>
      </c>
      <c r="K168" s="467">
        <v>0</v>
      </c>
      <c r="L168" s="456">
        <v>402643</v>
      </c>
      <c r="M168" s="456">
        <v>0</v>
      </c>
      <c r="N168" s="456">
        <v>113533</v>
      </c>
      <c r="O168" s="456">
        <v>0</v>
      </c>
      <c r="P168" s="456"/>
      <c r="Q168" s="456"/>
      <c r="R168" s="456"/>
      <c r="S168" s="456"/>
      <c r="T168" s="456"/>
      <c r="U168" s="456"/>
      <c r="V168" s="456"/>
      <c r="W168" s="456"/>
      <c r="X168" s="456"/>
      <c r="Y168" s="456">
        <f t="shared" si="10"/>
        <v>113533</v>
      </c>
      <c r="Z168" s="457">
        <v>17002</v>
      </c>
      <c r="AA168" s="468" t="s">
        <v>2084</v>
      </c>
      <c r="AB168" s="459">
        <v>44259</v>
      </c>
      <c r="AC168" s="464">
        <v>44274</v>
      </c>
      <c r="AD168" s="457"/>
      <c r="AE168" s="469"/>
      <c r="AF168" s="463"/>
      <c r="AG168" s="464"/>
      <c r="AH168" s="457"/>
      <c r="AI168" s="468"/>
      <c r="AJ168" s="463"/>
      <c r="AK168" s="464"/>
      <c r="AL168" s="457"/>
      <c r="AM168" s="468"/>
      <c r="AN168" s="463"/>
      <c r="AO168" s="464"/>
      <c r="AP168" s="457"/>
      <c r="AQ168" s="468"/>
      <c r="AR168" s="463"/>
      <c r="AS168" s="464"/>
      <c r="AT168" s="37">
        <f t="shared" si="8"/>
        <v>17002</v>
      </c>
      <c r="AU168" s="483">
        <f t="shared" si="9"/>
        <v>-96531</v>
      </c>
      <c r="AV168" s="466"/>
    </row>
    <row r="169" spans="2:48" s="26" customFormat="1" x14ac:dyDescent="0.2">
      <c r="B169" s="27">
        <f t="shared" si="11"/>
        <v>153</v>
      </c>
      <c r="C169" s="447" t="s">
        <v>39</v>
      </c>
      <c r="D169" s="448">
        <v>30470644</v>
      </c>
      <c r="E169" s="449" t="s">
        <v>2232</v>
      </c>
      <c r="F169" s="450" t="s">
        <v>147</v>
      </c>
      <c r="G169" s="451" t="s">
        <v>2025</v>
      </c>
      <c r="H169" s="472" t="s">
        <v>2094</v>
      </c>
      <c r="I169" s="452" t="s">
        <v>57</v>
      </c>
      <c r="J169" s="454">
        <v>607307</v>
      </c>
      <c r="K169" s="453">
        <v>401434</v>
      </c>
      <c r="L169" s="456">
        <v>12799</v>
      </c>
      <c r="M169" s="456">
        <v>0</v>
      </c>
      <c r="N169" s="456">
        <v>0</v>
      </c>
      <c r="O169" s="456">
        <v>0</v>
      </c>
      <c r="P169" s="456"/>
      <c r="Q169" s="456"/>
      <c r="R169" s="456"/>
      <c r="S169" s="456"/>
      <c r="T169" s="456"/>
      <c r="U169" s="456"/>
      <c r="V169" s="456"/>
      <c r="W169" s="456"/>
      <c r="X169" s="456"/>
      <c r="Y169" s="456">
        <f t="shared" si="10"/>
        <v>0</v>
      </c>
      <c r="Z169" s="457">
        <v>193074</v>
      </c>
      <c r="AA169" s="468" t="s">
        <v>2060</v>
      </c>
      <c r="AB169" s="459">
        <v>44237</v>
      </c>
      <c r="AC169" s="464">
        <v>44251</v>
      </c>
      <c r="AD169" s="457"/>
      <c r="AE169" s="469"/>
      <c r="AF169" s="463"/>
      <c r="AG169" s="464"/>
      <c r="AH169" s="457"/>
      <c r="AI169" s="468"/>
      <c r="AJ169" s="463"/>
      <c r="AK169" s="464"/>
      <c r="AL169" s="457"/>
      <c r="AM169" s="468"/>
      <c r="AN169" s="463"/>
      <c r="AO169" s="464"/>
      <c r="AP169" s="457"/>
      <c r="AQ169" s="468"/>
      <c r="AR169" s="463"/>
      <c r="AS169" s="464"/>
      <c r="AT169" s="37">
        <f t="shared" si="8"/>
        <v>193074</v>
      </c>
      <c r="AU169" s="465">
        <f t="shared" si="9"/>
        <v>193074</v>
      </c>
      <c r="AV169" s="466"/>
    </row>
    <row r="170" spans="2:48" s="26" customFormat="1" ht="22.5" x14ac:dyDescent="0.2">
      <c r="B170" s="27">
        <f t="shared" si="11"/>
        <v>154</v>
      </c>
      <c r="C170" s="447" t="s">
        <v>39</v>
      </c>
      <c r="D170" s="448">
        <v>30471635</v>
      </c>
      <c r="E170" s="449" t="s">
        <v>2233</v>
      </c>
      <c r="F170" s="450" t="s">
        <v>2155</v>
      </c>
      <c r="G170" s="451" t="s">
        <v>2025</v>
      </c>
      <c r="H170" s="472" t="s">
        <v>2046</v>
      </c>
      <c r="I170" s="452" t="s">
        <v>72</v>
      </c>
      <c r="J170" s="453">
        <v>87495</v>
      </c>
      <c r="K170" s="454">
        <v>0</v>
      </c>
      <c r="L170" s="455">
        <v>1926</v>
      </c>
      <c r="M170" s="456">
        <v>0</v>
      </c>
      <c r="N170" s="456">
        <v>0</v>
      </c>
      <c r="O170" s="456">
        <v>0</v>
      </c>
      <c r="P170" s="456"/>
      <c r="Q170" s="456"/>
      <c r="R170" s="456"/>
      <c r="S170" s="456"/>
      <c r="T170" s="456"/>
      <c r="U170" s="456"/>
      <c r="V170" s="456"/>
      <c r="W170" s="456"/>
      <c r="X170" s="456"/>
      <c r="Y170" s="456">
        <f t="shared" si="10"/>
        <v>0</v>
      </c>
      <c r="Z170" s="457">
        <v>42785</v>
      </c>
      <c r="AA170" s="468" t="s">
        <v>144</v>
      </c>
      <c r="AB170" s="459">
        <v>44224</v>
      </c>
      <c r="AC170" s="464">
        <v>44251</v>
      </c>
      <c r="AD170" s="457"/>
      <c r="AE170" s="469"/>
      <c r="AF170" s="463"/>
      <c r="AG170" s="464"/>
      <c r="AH170" s="457"/>
      <c r="AI170" s="468"/>
      <c r="AJ170" s="463"/>
      <c r="AK170" s="464"/>
      <c r="AL170" s="457"/>
      <c r="AM170" s="468"/>
      <c r="AN170" s="463"/>
      <c r="AO170" s="464"/>
      <c r="AP170" s="457"/>
      <c r="AQ170" s="468"/>
      <c r="AR170" s="463"/>
      <c r="AS170" s="464"/>
      <c r="AT170" s="37">
        <f t="shared" si="8"/>
        <v>42785</v>
      </c>
      <c r="AU170" s="465">
        <f t="shared" si="9"/>
        <v>42785</v>
      </c>
      <c r="AV170" s="466"/>
    </row>
    <row r="171" spans="2:48" s="26" customFormat="1" x14ac:dyDescent="0.2">
      <c r="B171" s="27">
        <f t="shared" si="11"/>
        <v>155</v>
      </c>
      <c r="C171" s="447" t="s">
        <v>39</v>
      </c>
      <c r="D171" s="448">
        <v>30475049</v>
      </c>
      <c r="E171" s="449" t="s">
        <v>2234</v>
      </c>
      <c r="F171" s="450" t="s">
        <v>193</v>
      </c>
      <c r="G171" s="451" t="s">
        <v>2025</v>
      </c>
      <c r="H171" s="472" t="s">
        <v>2062</v>
      </c>
      <c r="I171" s="452" t="s">
        <v>57</v>
      </c>
      <c r="J171" s="454">
        <v>180780</v>
      </c>
      <c r="K171" s="453">
        <v>31405</v>
      </c>
      <c r="L171" s="456">
        <v>0</v>
      </c>
      <c r="M171" s="456">
        <v>0</v>
      </c>
      <c r="N171" s="456">
        <v>24825</v>
      </c>
      <c r="O171" s="456">
        <v>3000</v>
      </c>
      <c r="P171" s="456"/>
      <c r="Q171" s="456"/>
      <c r="R171" s="456"/>
      <c r="S171" s="456"/>
      <c r="T171" s="456"/>
      <c r="U171" s="456"/>
      <c r="V171" s="456"/>
      <c r="W171" s="456"/>
      <c r="X171" s="456"/>
      <c r="Y171" s="456">
        <f t="shared" si="10"/>
        <v>27825</v>
      </c>
      <c r="Z171" s="457">
        <v>149375</v>
      </c>
      <c r="AA171" s="468" t="s">
        <v>2060</v>
      </c>
      <c r="AB171" s="459">
        <v>44237</v>
      </c>
      <c r="AC171" s="464">
        <v>44251</v>
      </c>
      <c r="AD171" s="457"/>
      <c r="AE171" s="469"/>
      <c r="AF171" s="463"/>
      <c r="AG171" s="464"/>
      <c r="AH171" s="457"/>
      <c r="AI171" s="468"/>
      <c r="AJ171" s="463"/>
      <c r="AK171" s="464"/>
      <c r="AL171" s="457"/>
      <c r="AM171" s="468"/>
      <c r="AN171" s="463"/>
      <c r="AO171" s="464"/>
      <c r="AP171" s="457"/>
      <c r="AQ171" s="468"/>
      <c r="AR171" s="463"/>
      <c r="AS171" s="464"/>
      <c r="AT171" s="37">
        <f t="shared" si="8"/>
        <v>149375</v>
      </c>
      <c r="AU171" s="465">
        <f t="shared" si="9"/>
        <v>121550</v>
      </c>
      <c r="AV171" s="466"/>
    </row>
    <row r="172" spans="2:48" s="26" customFormat="1" ht="22.5" x14ac:dyDescent="0.2">
      <c r="B172" s="27">
        <f t="shared" si="11"/>
        <v>156</v>
      </c>
      <c r="C172" s="447" t="s">
        <v>39</v>
      </c>
      <c r="D172" s="448">
        <v>30480896</v>
      </c>
      <c r="E172" s="449" t="s">
        <v>2235</v>
      </c>
      <c r="F172" s="450" t="s">
        <v>193</v>
      </c>
      <c r="G172" s="451" t="s">
        <v>2025</v>
      </c>
      <c r="H172" s="472" t="s">
        <v>2062</v>
      </c>
      <c r="I172" s="452" t="s">
        <v>72</v>
      </c>
      <c r="J172" s="453">
        <v>225723</v>
      </c>
      <c r="K172" s="471">
        <v>0</v>
      </c>
      <c r="L172" s="455">
        <v>120406</v>
      </c>
      <c r="M172" s="456">
        <v>0</v>
      </c>
      <c r="N172" s="456">
        <v>0</v>
      </c>
      <c r="O172" s="456">
        <v>0</v>
      </c>
      <c r="P172" s="456"/>
      <c r="Q172" s="456"/>
      <c r="R172" s="456"/>
      <c r="S172" s="456"/>
      <c r="T172" s="456"/>
      <c r="U172" s="456"/>
      <c r="V172" s="456"/>
      <c r="W172" s="456"/>
      <c r="X172" s="456"/>
      <c r="Y172" s="456">
        <f t="shared" si="10"/>
        <v>0</v>
      </c>
      <c r="Z172" s="457">
        <v>102250</v>
      </c>
      <c r="AA172" s="468" t="s">
        <v>2037</v>
      </c>
      <c r="AB172" s="459">
        <v>44222</v>
      </c>
      <c r="AC172" s="464">
        <v>44225</v>
      </c>
      <c r="AD172" s="457"/>
      <c r="AE172" s="469"/>
      <c r="AF172" s="463"/>
      <c r="AG172" s="464"/>
      <c r="AH172" s="457"/>
      <c r="AI172" s="468"/>
      <c r="AJ172" s="463"/>
      <c r="AK172" s="464"/>
      <c r="AL172" s="457"/>
      <c r="AM172" s="468"/>
      <c r="AN172" s="463"/>
      <c r="AO172" s="464"/>
      <c r="AP172" s="457"/>
      <c r="AQ172" s="468"/>
      <c r="AR172" s="463"/>
      <c r="AS172" s="464"/>
      <c r="AT172" s="37">
        <f t="shared" si="8"/>
        <v>102250</v>
      </c>
      <c r="AU172" s="465">
        <f t="shared" si="9"/>
        <v>102250</v>
      </c>
      <c r="AV172" s="466"/>
    </row>
    <row r="173" spans="2:48" s="26" customFormat="1" x14ac:dyDescent="0.2">
      <c r="B173" s="27">
        <f t="shared" si="11"/>
        <v>157</v>
      </c>
      <c r="C173" s="447" t="s">
        <v>39</v>
      </c>
      <c r="D173" s="448">
        <v>30482103</v>
      </c>
      <c r="E173" s="449" t="s">
        <v>2236</v>
      </c>
      <c r="F173" s="450" t="s">
        <v>193</v>
      </c>
      <c r="G173" s="451" t="s">
        <v>2025</v>
      </c>
      <c r="H173" s="472" t="s">
        <v>2094</v>
      </c>
      <c r="I173" s="452" t="s">
        <v>72</v>
      </c>
      <c r="J173" s="453">
        <v>247594</v>
      </c>
      <c r="K173" s="467">
        <v>0</v>
      </c>
      <c r="L173" s="456">
        <v>28169</v>
      </c>
      <c r="M173" s="456">
        <v>0</v>
      </c>
      <c r="N173" s="456">
        <v>0</v>
      </c>
      <c r="O173" s="456">
        <v>0</v>
      </c>
      <c r="P173" s="456"/>
      <c r="Q173" s="456"/>
      <c r="R173" s="456"/>
      <c r="S173" s="456"/>
      <c r="T173" s="456"/>
      <c r="U173" s="456"/>
      <c r="V173" s="456"/>
      <c r="W173" s="456"/>
      <c r="X173" s="456"/>
      <c r="Y173" s="456">
        <f t="shared" si="10"/>
        <v>0</v>
      </c>
      <c r="Z173" s="457">
        <v>104000</v>
      </c>
      <c r="AA173" s="468" t="s">
        <v>2084</v>
      </c>
      <c r="AB173" s="459">
        <v>44259</v>
      </c>
      <c r="AC173" s="464">
        <v>44274</v>
      </c>
      <c r="AD173" s="457"/>
      <c r="AE173" s="469"/>
      <c r="AF173" s="463"/>
      <c r="AG173" s="464"/>
      <c r="AH173" s="457"/>
      <c r="AI173" s="468"/>
      <c r="AJ173" s="463"/>
      <c r="AK173" s="464"/>
      <c r="AL173" s="457"/>
      <c r="AM173" s="468"/>
      <c r="AN173" s="463"/>
      <c r="AO173" s="464"/>
      <c r="AP173" s="457"/>
      <c r="AQ173" s="468"/>
      <c r="AR173" s="463"/>
      <c r="AS173" s="464"/>
      <c r="AT173" s="37">
        <f t="shared" si="8"/>
        <v>104000</v>
      </c>
      <c r="AU173" s="465">
        <f t="shared" si="9"/>
        <v>104000</v>
      </c>
      <c r="AV173" s="466"/>
    </row>
    <row r="174" spans="2:48" s="26" customFormat="1" x14ac:dyDescent="0.2">
      <c r="B174" s="27">
        <f t="shared" si="11"/>
        <v>158</v>
      </c>
      <c r="C174" s="447" t="s">
        <v>39</v>
      </c>
      <c r="D174" s="448">
        <v>30484568</v>
      </c>
      <c r="E174" s="449" t="s">
        <v>2237</v>
      </c>
      <c r="F174" s="450" t="s">
        <v>193</v>
      </c>
      <c r="G174" s="451" t="s">
        <v>2025</v>
      </c>
      <c r="H174" s="472" t="s">
        <v>2072</v>
      </c>
      <c r="I174" s="452" t="s">
        <v>57</v>
      </c>
      <c r="J174" s="454">
        <v>228565</v>
      </c>
      <c r="K174" s="453">
        <v>161259</v>
      </c>
      <c r="L174" s="456">
        <v>0</v>
      </c>
      <c r="M174" s="456">
        <v>0</v>
      </c>
      <c r="N174" s="456">
        <v>1500</v>
      </c>
      <c r="O174" s="456">
        <v>3000</v>
      </c>
      <c r="P174" s="456"/>
      <c r="Q174" s="456"/>
      <c r="R174" s="456"/>
      <c r="S174" s="456"/>
      <c r="T174" s="456"/>
      <c r="U174" s="456"/>
      <c r="V174" s="456"/>
      <c r="W174" s="456"/>
      <c r="X174" s="456"/>
      <c r="Y174" s="456">
        <f t="shared" si="10"/>
        <v>4500</v>
      </c>
      <c r="Z174" s="457">
        <v>67200</v>
      </c>
      <c r="AA174" s="468" t="s">
        <v>2060</v>
      </c>
      <c r="AB174" s="459">
        <v>44237</v>
      </c>
      <c r="AC174" s="464">
        <v>44251</v>
      </c>
      <c r="AD174" s="457"/>
      <c r="AE174" s="469"/>
      <c r="AF174" s="463"/>
      <c r="AG174" s="464"/>
      <c r="AH174" s="457"/>
      <c r="AI174" s="468"/>
      <c r="AJ174" s="463"/>
      <c r="AK174" s="464"/>
      <c r="AL174" s="457"/>
      <c r="AM174" s="468"/>
      <c r="AN174" s="463"/>
      <c r="AO174" s="464"/>
      <c r="AP174" s="457"/>
      <c r="AQ174" s="468"/>
      <c r="AR174" s="463"/>
      <c r="AS174" s="464"/>
      <c r="AT174" s="37">
        <f t="shared" si="8"/>
        <v>67200</v>
      </c>
      <c r="AU174" s="465">
        <f t="shared" si="9"/>
        <v>62700</v>
      </c>
      <c r="AV174" s="466"/>
    </row>
    <row r="175" spans="2:48" s="26" customFormat="1" x14ac:dyDescent="0.2">
      <c r="B175" s="27">
        <f t="shared" si="11"/>
        <v>159</v>
      </c>
      <c r="C175" s="447" t="s">
        <v>39</v>
      </c>
      <c r="D175" s="448">
        <v>30484569</v>
      </c>
      <c r="E175" s="449" t="s">
        <v>2238</v>
      </c>
      <c r="F175" s="450" t="s">
        <v>193</v>
      </c>
      <c r="G175" s="451" t="s">
        <v>2025</v>
      </c>
      <c r="H175" s="472" t="s">
        <v>2072</v>
      </c>
      <c r="I175" s="452" t="s">
        <v>72</v>
      </c>
      <c r="J175" s="453">
        <v>237386</v>
      </c>
      <c r="K175" s="471">
        <v>0</v>
      </c>
      <c r="L175" s="455">
        <v>190474</v>
      </c>
      <c r="M175" s="456">
        <v>0</v>
      </c>
      <c r="N175" s="456">
        <v>0</v>
      </c>
      <c r="O175" s="456">
        <v>0</v>
      </c>
      <c r="P175" s="456"/>
      <c r="Q175" s="456"/>
      <c r="R175" s="456"/>
      <c r="S175" s="456"/>
      <c r="T175" s="456"/>
      <c r="U175" s="456"/>
      <c r="V175" s="456"/>
      <c r="W175" s="456"/>
      <c r="X175" s="456"/>
      <c r="Y175" s="456">
        <f t="shared" si="10"/>
        <v>0</v>
      </c>
      <c r="Z175" s="457">
        <v>40900</v>
      </c>
      <c r="AA175" s="468" t="s">
        <v>2037</v>
      </c>
      <c r="AB175" s="459">
        <v>44222</v>
      </c>
      <c r="AC175" s="464">
        <v>44225</v>
      </c>
      <c r="AD175" s="457"/>
      <c r="AE175" s="469"/>
      <c r="AF175" s="463"/>
      <c r="AG175" s="464"/>
      <c r="AH175" s="457"/>
      <c r="AI175" s="468"/>
      <c r="AJ175" s="463"/>
      <c r="AK175" s="464"/>
      <c r="AL175" s="457"/>
      <c r="AM175" s="468"/>
      <c r="AN175" s="463"/>
      <c r="AO175" s="464"/>
      <c r="AP175" s="457"/>
      <c r="AQ175" s="468"/>
      <c r="AR175" s="463"/>
      <c r="AS175" s="464"/>
      <c r="AT175" s="37">
        <f t="shared" si="8"/>
        <v>40900</v>
      </c>
      <c r="AU175" s="465">
        <f t="shared" si="9"/>
        <v>40900</v>
      </c>
      <c r="AV175" s="466"/>
    </row>
    <row r="176" spans="2:48" s="26" customFormat="1" x14ac:dyDescent="0.2">
      <c r="B176" s="27">
        <f t="shared" si="11"/>
        <v>160</v>
      </c>
      <c r="C176" s="447" t="s">
        <v>39</v>
      </c>
      <c r="D176" s="448">
        <v>30484768</v>
      </c>
      <c r="E176" s="449" t="s">
        <v>2239</v>
      </c>
      <c r="F176" s="450" t="s">
        <v>193</v>
      </c>
      <c r="G176" s="451" t="s">
        <v>2025</v>
      </c>
      <c r="H176" s="472" t="s">
        <v>2240</v>
      </c>
      <c r="I176" s="452" t="s">
        <v>57</v>
      </c>
      <c r="J176" s="453">
        <v>32513</v>
      </c>
      <c r="K176" s="454">
        <v>25420</v>
      </c>
      <c r="L176" s="455">
        <v>0</v>
      </c>
      <c r="M176" s="456">
        <v>0</v>
      </c>
      <c r="N176" s="456">
        <v>0</v>
      </c>
      <c r="O176" s="456">
        <v>0</v>
      </c>
      <c r="P176" s="456"/>
      <c r="Q176" s="456"/>
      <c r="R176" s="456"/>
      <c r="S176" s="456"/>
      <c r="T176" s="456"/>
      <c r="U176" s="456"/>
      <c r="V176" s="456"/>
      <c r="W176" s="456"/>
      <c r="X176" s="456"/>
      <c r="Y176" s="456">
        <f t="shared" si="10"/>
        <v>0</v>
      </c>
      <c r="Z176" s="457">
        <v>7093</v>
      </c>
      <c r="AA176" s="468" t="s">
        <v>144</v>
      </c>
      <c r="AB176" s="459">
        <v>44224</v>
      </c>
      <c r="AC176" s="464">
        <v>44251</v>
      </c>
      <c r="AD176" s="457"/>
      <c r="AE176" s="469"/>
      <c r="AF176" s="463"/>
      <c r="AG176" s="464"/>
      <c r="AH176" s="457"/>
      <c r="AI176" s="468"/>
      <c r="AJ176" s="463"/>
      <c r="AK176" s="464"/>
      <c r="AL176" s="457"/>
      <c r="AM176" s="468"/>
      <c r="AN176" s="463"/>
      <c r="AO176" s="464"/>
      <c r="AP176" s="457"/>
      <c r="AQ176" s="468"/>
      <c r="AR176" s="463"/>
      <c r="AS176" s="464"/>
      <c r="AT176" s="37">
        <f t="shared" si="8"/>
        <v>7093</v>
      </c>
      <c r="AU176" s="465">
        <f t="shared" si="9"/>
        <v>7093</v>
      </c>
      <c r="AV176" s="466"/>
    </row>
    <row r="177" spans="2:48" s="26" customFormat="1" x14ac:dyDescent="0.2">
      <c r="B177" s="27">
        <f t="shared" si="11"/>
        <v>161</v>
      </c>
      <c r="C177" s="447" t="s">
        <v>39</v>
      </c>
      <c r="D177" s="448">
        <v>30484906</v>
      </c>
      <c r="E177" s="449" t="s">
        <v>2241</v>
      </c>
      <c r="F177" s="450" t="s">
        <v>193</v>
      </c>
      <c r="G177" s="451" t="s">
        <v>2025</v>
      </c>
      <c r="H177" s="472" t="s">
        <v>2123</v>
      </c>
      <c r="I177" s="452" t="s">
        <v>72</v>
      </c>
      <c r="J177" s="453">
        <v>52507</v>
      </c>
      <c r="K177" s="454">
        <v>0</v>
      </c>
      <c r="L177" s="455">
        <v>1</v>
      </c>
      <c r="M177" s="456">
        <v>0</v>
      </c>
      <c r="N177" s="456">
        <v>0</v>
      </c>
      <c r="O177" s="456">
        <v>0</v>
      </c>
      <c r="P177" s="456"/>
      <c r="Q177" s="456"/>
      <c r="R177" s="456"/>
      <c r="S177" s="456"/>
      <c r="T177" s="456"/>
      <c r="U177" s="456"/>
      <c r="V177" s="456"/>
      <c r="W177" s="456"/>
      <c r="X177" s="456"/>
      <c r="Y177" s="456">
        <f t="shared" si="10"/>
        <v>0</v>
      </c>
      <c r="Z177" s="457">
        <v>44012</v>
      </c>
      <c r="AA177" s="468" t="s">
        <v>144</v>
      </c>
      <c r="AB177" s="459">
        <v>44224</v>
      </c>
      <c r="AC177" s="464">
        <v>44251</v>
      </c>
      <c r="AD177" s="457"/>
      <c r="AE177" s="469"/>
      <c r="AF177" s="463"/>
      <c r="AG177" s="464"/>
      <c r="AH177" s="457"/>
      <c r="AI177" s="468"/>
      <c r="AJ177" s="463"/>
      <c r="AK177" s="464"/>
      <c r="AL177" s="457"/>
      <c r="AM177" s="468"/>
      <c r="AN177" s="463"/>
      <c r="AO177" s="464"/>
      <c r="AP177" s="457"/>
      <c r="AQ177" s="468"/>
      <c r="AR177" s="463"/>
      <c r="AS177" s="464"/>
      <c r="AT177" s="37">
        <f t="shared" si="8"/>
        <v>44012</v>
      </c>
      <c r="AU177" s="465">
        <f t="shared" si="9"/>
        <v>44012</v>
      </c>
      <c r="AV177" s="466"/>
    </row>
    <row r="178" spans="2:48" s="26" customFormat="1" x14ac:dyDescent="0.2">
      <c r="B178" s="27">
        <f t="shared" si="11"/>
        <v>162</v>
      </c>
      <c r="C178" s="447" t="s">
        <v>39</v>
      </c>
      <c r="D178" s="448">
        <v>30485333</v>
      </c>
      <c r="E178" s="449" t="s">
        <v>2242</v>
      </c>
      <c r="F178" s="450" t="s">
        <v>147</v>
      </c>
      <c r="G178" s="451" t="s">
        <v>2025</v>
      </c>
      <c r="H178" s="472" t="s">
        <v>2243</v>
      </c>
      <c r="I178" s="452" t="s">
        <v>72</v>
      </c>
      <c r="J178" s="454">
        <v>1420920</v>
      </c>
      <c r="K178" s="453">
        <v>0</v>
      </c>
      <c r="L178" s="456">
        <v>1200104</v>
      </c>
      <c r="M178" s="456">
        <v>0</v>
      </c>
      <c r="N178" s="456">
        <v>0</v>
      </c>
      <c r="O178" s="456">
        <v>10576</v>
      </c>
      <c r="P178" s="456"/>
      <c r="Q178" s="456"/>
      <c r="R178" s="456"/>
      <c r="S178" s="456"/>
      <c r="T178" s="456"/>
      <c r="U178" s="456"/>
      <c r="V178" s="456"/>
      <c r="W178" s="456"/>
      <c r="X178" s="456"/>
      <c r="Y178" s="456">
        <f t="shared" si="10"/>
        <v>10576</v>
      </c>
      <c r="Z178" s="457">
        <v>220576</v>
      </c>
      <c r="AA178" s="468" t="s">
        <v>2060</v>
      </c>
      <c r="AB178" s="459">
        <v>44237</v>
      </c>
      <c r="AC178" s="464">
        <v>44251</v>
      </c>
      <c r="AD178" s="457"/>
      <c r="AE178" s="469"/>
      <c r="AF178" s="463"/>
      <c r="AG178" s="464"/>
      <c r="AH178" s="457"/>
      <c r="AI178" s="468"/>
      <c r="AJ178" s="463"/>
      <c r="AK178" s="464"/>
      <c r="AL178" s="457"/>
      <c r="AM178" s="468"/>
      <c r="AN178" s="463"/>
      <c r="AO178" s="464"/>
      <c r="AP178" s="457"/>
      <c r="AQ178" s="468"/>
      <c r="AR178" s="463"/>
      <c r="AS178" s="464"/>
      <c r="AT178" s="37">
        <f t="shared" si="8"/>
        <v>220576</v>
      </c>
      <c r="AU178" s="465">
        <f t="shared" si="9"/>
        <v>210000</v>
      </c>
      <c r="AV178" s="466"/>
    </row>
    <row r="179" spans="2:48" s="26" customFormat="1" x14ac:dyDescent="0.2">
      <c r="B179" s="27">
        <f t="shared" si="11"/>
        <v>163</v>
      </c>
      <c r="C179" s="447" t="s">
        <v>39</v>
      </c>
      <c r="D179" s="448">
        <v>30485336</v>
      </c>
      <c r="E179" s="449" t="s">
        <v>2244</v>
      </c>
      <c r="F179" s="450" t="s">
        <v>147</v>
      </c>
      <c r="G179" s="451" t="s">
        <v>2025</v>
      </c>
      <c r="H179" s="472" t="s">
        <v>2160</v>
      </c>
      <c r="I179" s="452" t="s">
        <v>72</v>
      </c>
      <c r="J179" s="453">
        <v>692851</v>
      </c>
      <c r="K179" s="471">
        <v>0</v>
      </c>
      <c r="L179" s="455">
        <v>568634</v>
      </c>
      <c r="M179" s="456">
        <v>0</v>
      </c>
      <c r="N179" s="456">
        <v>0</v>
      </c>
      <c r="O179" s="456">
        <v>13902</v>
      </c>
      <c r="P179" s="456"/>
      <c r="Q179" s="456"/>
      <c r="R179" s="456"/>
      <c r="S179" s="456"/>
      <c r="T179" s="456"/>
      <c r="U179" s="456"/>
      <c r="V179" s="456"/>
      <c r="W179" s="456"/>
      <c r="X179" s="456"/>
      <c r="Y179" s="456">
        <f t="shared" si="10"/>
        <v>13902</v>
      </c>
      <c r="Z179" s="457">
        <v>123904</v>
      </c>
      <c r="AA179" s="468" t="s">
        <v>2037</v>
      </c>
      <c r="AB179" s="459">
        <v>44222</v>
      </c>
      <c r="AC179" s="464">
        <v>44225</v>
      </c>
      <c r="AD179" s="457"/>
      <c r="AE179" s="469"/>
      <c r="AF179" s="463"/>
      <c r="AG179" s="464"/>
      <c r="AH179" s="457"/>
      <c r="AI179" s="468"/>
      <c r="AJ179" s="463"/>
      <c r="AK179" s="464"/>
      <c r="AL179" s="457"/>
      <c r="AM179" s="468"/>
      <c r="AN179" s="463"/>
      <c r="AO179" s="464"/>
      <c r="AP179" s="457"/>
      <c r="AQ179" s="468"/>
      <c r="AR179" s="463"/>
      <c r="AS179" s="464"/>
      <c r="AT179" s="37">
        <f t="shared" si="8"/>
        <v>123904</v>
      </c>
      <c r="AU179" s="465">
        <f t="shared" si="9"/>
        <v>110002</v>
      </c>
      <c r="AV179" s="466"/>
    </row>
    <row r="180" spans="2:48" s="26" customFormat="1" x14ac:dyDescent="0.2">
      <c r="B180" s="27">
        <f t="shared" si="11"/>
        <v>164</v>
      </c>
      <c r="C180" s="447" t="s">
        <v>39</v>
      </c>
      <c r="D180" s="448">
        <v>30486596</v>
      </c>
      <c r="E180" s="449" t="s">
        <v>2245</v>
      </c>
      <c r="F180" s="450" t="s">
        <v>2155</v>
      </c>
      <c r="G180" s="451" t="s">
        <v>2025</v>
      </c>
      <c r="H180" s="472" t="s">
        <v>2026</v>
      </c>
      <c r="I180" s="452" t="s">
        <v>57</v>
      </c>
      <c r="J180" s="453">
        <v>93937</v>
      </c>
      <c r="K180" s="454">
        <v>40620</v>
      </c>
      <c r="L180" s="455">
        <v>0</v>
      </c>
      <c r="M180" s="456">
        <v>0</v>
      </c>
      <c r="N180" s="456">
        <v>0</v>
      </c>
      <c r="O180" s="456">
        <v>0</v>
      </c>
      <c r="P180" s="456"/>
      <c r="Q180" s="456"/>
      <c r="R180" s="456"/>
      <c r="S180" s="456"/>
      <c r="T180" s="456"/>
      <c r="U180" s="456"/>
      <c r="V180" s="456"/>
      <c r="W180" s="456"/>
      <c r="X180" s="456"/>
      <c r="Y180" s="456">
        <f t="shared" si="10"/>
        <v>0</v>
      </c>
      <c r="Z180" s="457">
        <v>53317</v>
      </c>
      <c r="AA180" s="468" t="s">
        <v>144</v>
      </c>
      <c r="AB180" s="459">
        <v>44224</v>
      </c>
      <c r="AC180" s="464">
        <v>44251</v>
      </c>
      <c r="AD180" s="457"/>
      <c r="AE180" s="469"/>
      <c r="AF180" s="463"/>
      <c r="AG180" s="464"/>
      <c r="AH180" s="457"/>
      <c r="AI180" s="468"/>
      <c r="AJ180" s="463"/>
      <c r="AK180" s="464"/>
      <c r="AL180" s="457"/>
      <c r="AM180" s="468"/>
      <c r="AN180" s="463"/>
      <c r="AO180" s="464"/>
      <c r="AP180" s="457"/>
      <c r="AQ180" s="468"/>
      <c r="AR180" s="463"/>
      <c r="AS180" s="464"/>
      <c r="AT180" s="37">
        <f t="shared" si="8"/>
        <v>53317</v>
      </c>
      <c r="AU180" s="465">
        <f t="shared" si="9"/>
        <v>53317</v>
      </c>
      <c r="AV180" s="466"/>
    </row>
    <row r="181" spans="2:48" s="26" customFormat="1" x14ac:dyDescent="0.2">
      <c r="B181" s="27">
        <f t="shared" si="11"/>
        <v>165</v>
      </c>
      <c r="C181" s="447" t="s">
        <v>39</v>
      </c>
      <c r="D181" s="448">
        <v>30486614</v>
      </c>
      <c r="E181" s="449" t="s">
        <v>2246</v>
      </c>
      <c r="F181" s="450" t="s">
        <v>147</v>
      </c>
      <c r="G181" s="451" t="s">
        <v>2025</v>
      </c>
      <c r="H181" s="472" t="s">
        <v>2247</v>
      </c>
      <c r="I181" s="452" t="s">
        <v>57</v>
      </c>
      <c r="J181" s="454">
        <v>3188909</v>
      </c>
      <c r="K181" s="453">
        <v>287937</v>
      </c>
      <c r="L181" s="456">
        <v>352388</v>
      </c>
      <c r="M181" s="456">
        <v>0</v>
      </c>
      <c r="N181" s="456">
        <v>272377</v>
      </c>
      <c r="O181" s="456">
        <v>424590</v>
      </c>
      <c r="P181" s="456"/>
      <c r="Q181" s="456"/>
      <c r="R181" s="456"/>
      <c r="S181" s="456"/>
      <c r="T181" s="456"/>
      <c r="U181" s="456"/>
      <c r="V181" s="456"/>
      <c r="W181" s="456"/>
      <c r="X181" s="456"/>
      <c r="Y181" s="456">
        <f t="shared" si="10"/>
        <v>696967</v>
      </c>
      <c r="Z181" s="457">
        <v>1240002</v>
      </c>
      <c r="AA181" s="468" t="s">
        <v>2060</v>
      </c>
      <c r="AB181" s="459">
        <v>44237</v>
      </c>
      <c r="AC181" s="464">
        <v>44251</v>
      </c>
      <c r="AD181" s="457"/>
      <c r="AE181" s="469"/>
      <c r="AF181" s="463"/>
      <c r="AG181" s="464"/>
      <c r="AH181" s="457"/>
      <c r="AI181" s="468"/>
      <c r="AJ181" s="463"/>
      <c r="AK181" s="464"/>
      <c r="AL181" s="457"/>
      <c r="AM181" s="468"/>
      <c r="AN181" s="463"/>
      <c r="AO181" s="464"/>
      <c r="AP181" s="457"/>
      <c r="AQ181" s="468"/>
      <c r="AR181" s="463"/>
      <c r="AS181" s="464"/>
      <c r="AT181" s="37">
        <f t="shared" si="8"/>
        <v>1240002</v>
      </c>
      <c r="AU181" s="465">
        <f t="shared" si="9"/>
        <v>543035</v>
      </c>
      <c r="AV181" s="466"/>
    </row>
    <row r="182" spans="2:48" s="26" customFormat="1" ht="22.5" x14ac:dyDescent="0.2">
      <c r="B182" s="27">
        <f t="shared" si="11"/>
        <v>166</v>
      </c>
      <c r="C182" s="447" t="s">
        <v>39</v>
      </c>
      <c r="D182" s="448">
        <v>40000086</v>
      </c>
      <c r="E182" s="449" t="s">
        <v>2248</v>
      </c>
      <c r="F182" s="450" t="s">
        <v>2155</v>
      </c>
      <c r="G182" s="451" t="s">
        <v>2025</v>
      </c>
      <c r="H182" s="472" t="s">
        <v>2046</v>
      </c>
      <c r="I182" s="452" t="s">
        <v>72</v>
      </c>
      <c r="J182" s="453">
        <v>78157</v>
      </c>
      <c r="K182" s="454">
        <v>0</v>
      </c>
      <c r="L182" s="455">
        <v>1721</v>
      </c>
      <c r="M182" s="456">
        <v>0</v>
      </c>
      <c r="N182" s="456">
        <v>0</v>
      </c>
      <c r="O182" s="456">
        <v>0</v>
      </c>
      <c r="P182" s="456"/>
      <c r="Q182" s="456"/>
      <c r="R182" s="456"/>
      <c r="S182" s="456"/>
      <c r="T182" s="456"/>
      <c r="U182" s="456"/>
      <c r="V182" s="456"/>
      <c r="W182" s="456"/>
      <c r="X182" s="456"/>
      <c r="Y182" s="456">
        <f t="shared" si="10"/>
        <v>0</v>
      </c>
      <c r="Z182" s="457">
        <v>38218</v>
      </c>
      <c r="AA182" s="468" t="s">
        <v>144</v>
      </c>
      <c r="AB182" s="459">
        <v>44224</v>
      </c>
      <c r="AC182" s="464">
        <v>44251</v>
      </c>
      <c r="AD182" s="457"/>
      <c r="AE182" s="469"/>
      <c r="AF182" s="463"/>
      <c r="AG182" s="464"/>
      <c r="AH182" s="457"/>
      <c r="AI182" s="468"/>
      <c r="AJ182" s="463"/>
      <c r="AK182" s="464"/>
      <c r="AL182" s="457"/>
      <c r="AM182" s="468"/>
      <c r="AN182" s="463"/>
      <c r="AO182" s="464"/>
      <c r="AP182" s="457"/>
      <c r="AQ182" s="468"/>
      <c r="AR182" s="463"/>
      <c r="AS182" s="464"/>
      <c r="AT182" s="37">
        <f t="shared" si="8"/>
        <v>38218</v>
      </c>
      <c r="AU182" s="465">
        <f t="shared" si="9"/>
        <v>38218</v>
      </c>
      <c r="AV182" s="466"/>
    </row>
    <row r="183" spans="2:48" s="26" customFormat="1" x14ac:dyDescent="0.2">
      <c r="B183" s="27">
        <f t="shared" si="11"/>
        <v>167</v>
      </c>
      <c r="C183" s="447" t="s">
        <v>39</v>
      </c>
      <c r="D183" s="448">
        <v>40001791</v>
      </c>
      <c r="E183" s="449" t="s">
        <v>2249</v>
      </c>
      <c r="F183" s="450" t="s">
        <v>147</v>
      </c>
      <c r="G183" s="451" t="s">
        <v>2025</v>
      </c>
      <c r="H183" s="472" t="s">
        <v>2160</v>
      </c>
      <c r="I183" s="452" t="s">
        <v>57</v>
      </c>
      <c r="J183" s="454">
        <v>2098662</v>
      </c>
      <c r="K183" s="453">
        <v>57419</v>
      </c>
      <c r="L183" s="456">
        <v>821437</v>
      </c>
      <c r="M183" s="456">
        <v>0</v>
      </c>
      <c r="N183" s="456">
        <v>0</v>
      </c>
      <c r="O183" s="456">
        <v>227916</v>
      </c>
      <c r="P183" s="456"/>
      <c r="Q183" s="456"/>
      <c r="R183" s="456"/>
      <c r="S183" s="456"/>
      <c r="T183" s="456"/>
      <c r="U183" s="456"/>
      <c r="V183" s="456"/>
      <c r="W183" s="456"/>
      <c r="X183" s="456"/>
      <c r="Y183" s="456">
        <f t="shared" si="10"/>
        <v>227916</v>
      </c>
      <c r="Z183" s="457">
        <v>1219580</v>
      </c>
      <c r="AA183" s="468" t="s">
        <v>2060</v>
      </c>
      <c r="AB183" s="459">
        <v>44237</v>
      </c>
      <c r="AC183" s="464">
        <v>44251</v>
      </c>
      <c r="AD183" s="457"/>
      <c r="AE183" s="469"/>
      <c r="AF183" s="463"/>
      <c r="AG183" s="464"/>
      <c r="AH183" s="457"/>
      <c r="AI183" s="468"/>
      <c r="AJ183" s="463"/>
      <c r="AK183" s="464"/>
      <c r="AL183" s="457"/>
      <c r="AM183" s="468"/>
      <c r="AN183" s="463"/>
      <c r="AO183" s="464"/>
      <c r="AP183" s="457"/>
      <c r="AQ183" s="468"/>
      <c r="AR183" s="463"/>
      <c r="AS183" s="464"/>
      <c r="AT183" s="37">
        <f t="shared" si="8"/>
        <v>1219580</v>
      </c>
      <c r="AU183" s="465">
        <f t="shared" si="9"/>
        <v>991664</v>
      </c>
      <c r="AV183" s="466"/>
    </row>
    <row r="184" spans="2:48" s="26" customFormat="1" x14ac:dyDescent="0.2">
      <c r="B184" s="27">
        <f t="shared" si="11"/>
        <v>168</v>
      </c>
      <c r="C184" s="447" t="s">
        <v>39</v>
      </c>
      <c r="D184" s="448">
        <v>40001833</v>
      </c>
      <c r="E184" s="449" t="s">
        <v>2250</v>
      </c>
      <c r="F184" s="450" t="s">
        <v>147</v>
      </c>
      <c r="G184" s="451" t="s">
        <v>2025</v>
      </c>
      <c r="H184" s="472" t="s">
        <v>2160</v>
      </c>
      <c r="I184" s="452" t="s">
        <v>57</v>
      </c>
      <c r="J184" s="454">
        <v>1450086</v>
      </c>
      <c r="K184" s="453">
        <v>284915</v>
      </c>
      <c r="L184" s="456">
        <v>6752</v>
      </c>
      <c r="M184" s="456">
        <v>0</v>
      </c>
      <c r="N184" s="456">
        <v>139207</v>
      </c>
      <c r="O184" s="456">
        <v>351714</v>
      </c>
      <c r="P184" s="456"/>
      <c r="Q184" s="456"/>
      <c r="R184" s="456"/>
      <c r="S184" s="456"/>
      <c r="T184" s="456"/>
      <c r="U184" s="456"/>
      <c r="V184" s="456"/>
      <c r="W184" s="456"/>
      <c r="X184" s="456"/>
      <c r="Y184" s="456">
        <f t="shared" si="10"/>
        <v>490921</v>
      </c>
      <c r="Z184" s="457">
        <v>1158362</v>
      </c>
      <c r="AA184" s="468" t="s">
        <v>2060</v>
      </c>
      <c r="AB184" s="459">
        <v>44237</v>
      </c>
      <c r="AC184" s="464">
        <v>44251</v>
      </c>
      <c r="AD184" s="457"/>
      <c r="AE184" s="469"/>
      <c r="AF184" s="463"/>
      <c r="AG184" s="464"/>
      <c r="AH184" s="457"/>
      <c r="AI184" s="468"/>
      <c r="AJ184" s="463"/>
      <c r="AK184" s="464"/>
      <c r="AL184" s="457"/>
      <c r="AM184" s="468"/>
      <c r="AN184" s="463"/>
      <c r="AO184" s="464"/>
      <c r="AP184" s="457"/>
      <c r="AQ184" s="468"/>
      <c r="AR184" s="463"/>
      <c r="AS184" s="464"/>
      <c r="AT184" s="37">
        <f t="shared" si="8"/>
        <v>1158362</v>
      </c>
      <c r="AU184" s="465">
        <f t="shared" si="9"/>
        <v>667441</v>
      </c>
      <c r="AV184" s="466"/>
    </row>
    <row r="185" spans="2:48" s="26" customFormat="1" x14ac:dyDescent="0.2">
      <c r="B185" s="27">
        <f t="shared" si="11"/>
        <v>169</v>
      </c>
      <c r="C185" s="447" t="s">
        <v>39</v>
      </c>
      <c r="D185" s="448">
        <v>40001915</v>
      </c>
      <c r="E185" s="449" t="s">
        <v>2251</v>
      </c>
      <c r="F185" s="450" t="s">
        <v>147</v>
      </c>
      <c r="G185" s="451" t="s">
        <v>2025</v>
      </c>
      <c r="H185" s="472" t="s">
        <v>2138</v>
      </c>
      <c r="I185" s="452" t="s">
        <v>57</v>
      </c>
      <c r="J185" s="453">
        <v>350294</v>
      </c>
      <c r="K185" s="467">
        <v>2077</v>
      </c>
      <c r="L185" s="456">
        <v>100216</v>
      </c>
      <c r="M185" s="456">
        <v>0</v>
      </c>
      <c r="N185" s="456">
        <v>0</v>
      </c>
      <c r="O185" s="456">
        <v>107164</v>
      </c>
      <c r="P185" s="456"/>
      <c r="Q185" s="456"/>
      <c r="R185" s="456"/>
      <c r="S185" s="456"/>
      <c r="T185" s="456"/>
      <c r="U185" s="456"/>
      <c r="V185" s="456"/>
      <c r="W185" s="456"/>
      <c r="X185" s="456"/>
      <c r="Y185" s="456">
        <f t="shared" si="10"/>
        <v>107164</v>
      </c>
      <c r="Z185" s="457">
        <v>248000</v>
      </c>
      <c r="AA185" s="468" t="s">
        <v>2020</v>
      </c>
      <c r="AB185" s="459">
        <v>44232</v>
      </c>
      <c r="AC185" s="464">
        <v>44251</v>
      </c>
      <c r="AD185" s="457"/>
      <c r="AE185" s="469"/>
      <c r="AF185" s="463"/>
      <c r="AG185" s="464"/>
      <c r="AH185" s="457"/>
      <c r="AI185" s="468"/>
      <c r="AJ185" s="463"/>
      <c r="AK185" s="464"/>
      <c r="AL185" s="457"/>
      <c r="AM185" s="468"/>
      <c r="AN185" s="463"/>
      <c r="AO185" s="464"/>
      <c r="AP185" s="457"/>
      <c r="AQ185" s="468"/>
      <c r="AR185" s="463"/>
      <c r="AS185" s="464"/>
      <c r="AT185" s="37">
        <f t="shared" si="8"/>
        <v>248000</v>
      </c>
      <c r="AU185" s="465">
        <f t="shared" si="9"/>
        <v>140836</v>
      </c>
      <c r="AV185" s="466"/>
    </row>
    <row r="186" spans="2:48" s="26" customFormat="1" x14ac:dyDescent="0.2">
      <c r="B186" s="27">
        <f t="shared" si="11"/>
        <v>170</v>
      </c>
      <c r="C186" s="447" t="s">
        <v>39</v>
      </c>
      <c r="D186" s="448">
        <v>40002036</v>
      </c>
      <c r="E186" s="449" t="s">
        <v>2252</v>
      </c>
      <c r="F186" s="450" t="s">
        <v>193</v>
      </c>
      <c r="G186" s="451" t="s">
        <v>2025</v>
      </c>
      <c r="H186" s="472" t="s">
        <v>2026</v>
      </c>
      <c r="I186" s="452" t="s">
        <v>72</v>
      </c>
      <c r="J186" s="453">
        <v>43621</v>
      </c>
      <c r="K186" s="454">
        <v>0</v>
      </c>
      <c r="L186" s="455">
        <v>1</v>
      </c>
      <c r="M186" s="456">
        <v>0</v>
      </c>
      <c r="N186" s="456">
        <v>0</v>
      </c>
      <c r="O186" s="456">
        <v>0</v>
      </c>
      <c r="P186" s="456"/>
      <c r="Q186" s="456"/>
      <c r="R186" s="456"/>
      <c r="S186" s="456"/>
      <c r="T186" s="456"/>
      <c r="U186" s="456"/>
      <c r="V186" s="456"/>
      <c r="W186" s="456"/>
      <c r="X186" s="456"/>
      <c r="Y186" s="456">
        <f t="shared" si="10"/>
        <v>0</v>
      </c>
      <c r="Z186" s="457">
        <v>38483</v>
      </c>
      <c r="AA186" s="468" t="s">
        <v>144</v>
      </c>
      <c r="AB186" s="459">
        <v>44224</v>
      </c>
      <c r="AC186" s="464">
        <v>44251</v>
      </c>
      <c r="AD186" s="457"/>
      <c r="AE186" s="469"/>
      <c r="AF186" s="463"/>
      <c r="AG186" s="464"/>
      <c r="AH186" s="457"/>
      <c r="AI186" s="468"/>
      <c r="AJ186" s="463"/>
      <c r="AK186" s="464"/>
      <c r="AL186" s="457"/>
      <c r="AM186" s="468"/>
      <c r="AN186" s="463"/>
      <c r="AO186" s="464"/>
      <c r="AP186" s="457"/>
      <c r="AQ186" s="468"/>
      <c r="AR186" s="463"/>
      <c r="AS186" s="464"/>
      <c r="AT186" s="37">
        <f t="shared" si="8"/>
        <v>38483</v>
      </c>
      <c r="AU186" s="465">
        <f t="shared" si="9"/>
        <v>38483</v>
      </c>
      <c r="AV186" s="466"/>
    </row>
    <row r="187" spans="2:48" s="26" customFormat="1" x14ac:dyDescent="0.2">
      <c r="B187" s="27">
        <f t="shared" si="11"/>
        <v>171</v>
      </c>
      <c r="C187" s="447" t="s">
        <v>39</v>
      </c>
      <c r="D187" s="448">
        <v>40002498</v>
      </c>
      <c r="E187" s="449" t="s">
        <v>2253</v>
      </c>
      <c r="F187" s="450" t="s">
        <v>147</v>
      </c>
      <c r="G187" s="451" t="s">
        <v>2025</v>
      </c>
      <c r="H187" s="472" t="s">
        <v>2062</v>
      </c>
      <c r="I187" s="452" t="s">
        <v>57</v>
      </c>
      <c r="J187" s="454">
        <v>1190382</v>
      </c>
      <c r="K187" s="453">
        <v>758388</v>
      </c>
      <c r="L187" s="456">
        <v>44386</v>
      </c>
      <c r="M187" s="456">
        <v>0</v>
      </c>
      <c r="N187" s="456">
        <v>58277</v>
      </c>
      <c r="O187" s="456">
        <v>169027</v>
      </c>
      <c r="P187" s="456"/>
      <c r="Q187" s="456"/>
      <c r="R187" s="456"/>
      <c r="S187" s="456"/>
      <c r="T187" s="456"/>
      <c r="U187" s="456"/>
      <c r="V187" s="456"/>
      <c r="W187" s="456"/>
      <c r="X187" s="456"/>
      <c r="Y187" s="456">
        <f t="shared" si="10"/>
        <v>227304</v>
      </c>
      <c r="Z187" s="457">
        <v>387608</v>
      </c>
      <c r="AA187" s="468" t="s">
        <v>2060</v>
      </c>
      <c r="AB187" s="459">
        <v>44237</v>
      </c>
      <c r="AC187" s="464">
        <v>44251</v>
      </c>
      <c r="AD187" s="457"/>
      <c r="AE187" s="469"/>
      <c r="AF187" s="463"/>
      <c r="AG187" s="464"/>
      <c r="AH187" s="457"/>
      <c r="AI187" s="468"/>
      <c r="AJ187" s="463"/>
      <c r="AK187" s="464"/>
      <c r="AL187" s="457"/>
      <c r="AM187" s="468"/>
      <c r="AN187" s="463"/>
      <c r="AO187" s="464"/>
      <c r="AP187" s="457"/>
      <c r="AQ187" s="468"/>
      <c r="AR187" s="463"/>
      <c r="AS187" s="464"/>
      <c r="AT187" s="37">
        <f t="shared" si="8"/>
        <v>387608</v>
      </c>
      <c r="AU187" s="465">
        <f t="shared" si="9"/>
        <v>160304</v>
      </c>
      <c r="AV187" s="466"/>
    </row>
    <row r="188" spans="2:48" s="26" customFormat="1" x14ac:dyDescent="0.2">
      <c r="B188" s="27">
        <f t="shared" si="11"/>
        <v>172</v>
      </c>
      <c r="C188" s="447" t="s">
        <v>39</v>
      </c>
      <c r="D188" s="448">
        <v>40003144</v>
      </c>
      <c r="E188" s="449" t="s">
        <v>2254</v>
      </c>
      <c r="F188" s="450" t="s">
        <v>147</v>
      </c>
      <c r="G188" s="451" t="s">
        <v>2025</v>
      </c>
      <c r="H188" s="472" t="s">
        <v>2078</v>
      </c>
      <c r="I188" s="452" t="s">
        <v>72</v>
      </c>
      <c r="J188" s="453">
        <v>290775</v>
      </c>
      <c r="K188" s="471">
        <v>0</v>
      </c>
      <c r="L188" s="455">
        <v>240775</v>
      </c>
      <c r="M188" s="456">
        <v>0</v>
      </c>
      <c r="N188" s="456">
        <v>0</v>
      </c>
      <c r="O188" s="456">
        <v>0</v>
      </c>
      <c r="P188" s="456"/>
      <c r="Q188" s="456"/>
      <c r="R188" s="456"/>
      <c r="S188" s="456"/>
      <c r="T188" s="456"/>
      <c r="U188" s="456"/>
      <c r="V188" s="456"/>
      <c r="W188" s="456"/>
      <c r="X188" s="456"/>
      <c r="Y188" s="456">
        <f t="shared" si="10"/>
        <v>0</v>
      </c>
      <c r="Z188" s="457">
        <v>50000</v>
      </c>
      <c r="AA188" s="468" t="s">
        <v>2037</v>
      </c>
      <c r="AB188" s="459">
        <v>44222</v>
      </c>
      <c r="AC188" s="464">
        <v>44225</v>
      </c>
      <c r="AD188" s="457"/>
      <c r="AE188" s="469"/>
      <c r="AF188" s="463"/>
      <c r="AG188" s="464"/>
      <c r="AH188" s="457"/>
      <c r="AI188" s="468"/>
      <c r="AJ188" s="463"/>
      <c r="AK188" s="464"/>
      <c r="AL188" s="457"/>
      <c r="AM188" s="468"/>
      <c r="AN188" s="463"/>
      <c r="AO188" s="464"/>
      <c r="AP188" s="457"/>
      <c r="AQ188" s="468"/>
      <c r="AR188" s="463"/>
      <c r="AS188" s="464"/>
      <c r="AT188" s="37">
        <f t="shared" si="8"/>
        <v>50000</v>
      </c>
      <c r="AU188" s="465">
        <f t="shared" si="9"/>
        <v>50000</v>
      </c>
      <c r="AV188" s="466"/>
    </row>
    <row r="189" spans="2:48" s="26" customFormat="1" x14ac:dyDescent="0.2">
      <c r="B189" s="27">
        <f t="shared" si="11"/>
        <v>173</v>
      </c>
      <c r="C189" s="447" t="s">
        <v>39</v>
      </c>
      <c r="D189" s="448">
        <v>40004832</v>
      </c>
      <c r="E189" s="449" t="s">
        <v>2255</v>
      </c>
      <c r="F189" s="450" t="s">
        <v>147</v>
      </c>
      <c r="G189" s="451" t="s">
        <v>2025</v>
      </c>
      <c r="H189" s="472" t="s">
        <v>2086</v>
      </c>
      <c r="I189" s="452" t="s">
        <v>72</v>
      </c>
      <c r="J189" s="453">
        <v>1333673</v>
      </c>
      <c r="K189" s="471">
        <v>0</v>
      </c>
      <c r="L189" s="455">
        <v>1125673</v>
      </c>
      <c r="M189" s="456">
        <v>0</v>
      </c>
      <c r="N189" s="456">
        <v>0</v>
      </c>
      <c r="O189" s="456">
        <v>0</v>
      </c>
      <c r="P189" s="456"/>
      <c r="Q189" s="456"/>
      <c r="R189" s="456"/>
      <c r="S189" s="456"/>
      <c r="T189" s="456"/>
      <c r="U189" s="456"/>
      <c r="V189" s="456"/>
      <c r="W189" s="456"/>
      <c r="X189" s="456"/>
      <c r="Y189" s="456">
        <f t="shared" si="10"/>
        <v>0</v>
      </c>
      <c r="Z189" s="457">
        <v>208000</v>
      </c>
      <c r="AA189" s="468" t="s">
        <v>2037</v>
      </c>
      <c r="AB189" s="459">
        <v>44222</v>
      </c>
      <c r="AC189" s="464">
        <v>44225</v>
      </c>
      <c r="AD189" s="457"/>
      <c r="AE189" s="469"/>
      <c r="AF189" s="463"/>
      <c r="AG189" s="464"/>
      <c r="AH189" s="457"/>
      <c r="AI189" s="468"/>
      <c r="AJ189" s="463"/>
      <c r="AK189" s="464"/>
      <c r="AL189" s="457"/>
      <c r="AM189" s="468"/>
      <c r="AN189" s="463"/>
      <c r="AO189" s="464"/>
      <c r="AP189" s="457"/>
      <c r="AQ189" s="468"/>
      <c r="AR189" s="463"/>
      <c r="AS189" s="464"/>
      <c r="AT189" s="37">
        <f t="shared" si="8"/>
        <v>208000</v>
      </c>
      <c r="AU189" s="465">
        <f t="shared" si="9"/>
        <v>208000</v>
      </c>
      <c r="AV189" s="466"/>
    </row>
    <row r="190" spans="2:48" s="26" customFormat="1" x14ac:dyDescent="0.2">
      <c r="B190" s="27">
        <f t="shared" si="11"/>
        <v>174</v>
      </c>
      <c r="C190" s="447" t="s">
        <v>39</v>
      </c>
      <c r="D190" s="448">
        <v>40005794</v>
      </c>
      <c r="E190" s="449" t="s">
        <v>2256</v>
      </c>
      <c r="F190" s="450" t="s">
        <v>193</v>
      </c>
      <c r="G190" s="451" t="s">
        <v>2025</v>
      </c>
      <c r="H190" s="472" t="s">
        <v>2108</v>
      </c>
      <c r="I190" s="452" t="s">
        <v>72</v>
      </c>
      <c r="J190" s="453">
        <v>154996</v>
      </c>
      <c r="K190" s="471">
        <v>0</v>
      </c>
      <c r="L190" s="455">
        <v>120001</v>
      </c>
      <c r="M190" s="456">
        <v>0</v>
      </c>
      <c r="N190" s="456">
        <v>0</v>
      </c>
      <c r="O190" s="456">
        <v>0</v>
      </c>
      <c r="P190" s="456"/>
      <c r="Q190" s="456"/>
      <c r="R190" s="456"/>
      <c r="S190" s="456"/>
      <c r="T190" s="456"/>
      <c r="U190" s="456"/>
      <c r="V190" s="456"/>
      <c r="W190" s="456"/>
      <c r="X190" s="456"/>
      <c r="Y190" s="456">
        <f t="shared" si="10"/>
        <v>0</v>
      </c>
      <c r="Z190" s="457">
        <v>34885</v>
      </c>
      <c r="AA190" s="468" t="s">
        <v>2037</v>
      </c>
      <c r="AB190" s="459">
        <v>44222</v>
      </c>
      <c r="AC190" s="464">
        <v>44225</v>
      </c>
      <c r="AD190" s="457"/>
      <c r="AE190" s="469"/>
      <c r="AF190" s="463"/>
      <c r="AG190" s="464"/>
      <c r="AH190" s="457"/>
      <c r="AI190" s="468"/>
      <c r="AJ190" s="463"/>
      <c r="AK190" s="464"/>
      <c r="AL190" s="457"/>
      <c r="AM190" s="468"/>
      <c r="AN190" s="463"/>
      <c r="AO190" s="464"/>
      <c r="AP190" s="457"/>
      <c r="AQ190" s="468"/>
      <c r="AR190" s="463"/>
      <c r="AS190" s="464"/>
      <c r="AT190" s="37">
        <f t="shared" si="8"/>
        <v>34885</v>
      </c>
      <c r="AU190" s="465">
        <f t="shared" si="9"/>
        <v>34885</v>
      </c>
      <c r="AV190" s="466"/>
    </row>
    <row r="191" spans="2:48" s="26" customFormat="1" ht="22.5" x14ac:dyDescent="0.2">
      <c r="B191" s="27">
        <f t="shared" si="11"/>
        <v>175</v>
      </c>
      <c r="C191" s="447" t="s">
        <v>39</v>
      </c>
      <c r="D191" s="448">
        <v>40006418</v>
      </c>
      <c r="E191" s="449" t="s">
        <v>2257</v>
      </c>
      <c r="F191" s="450" t="s">
        <v>147</v>
      </c>
      <c r="G191" s="451" t="s">
        <v>2025</v>
      </c>
      <c r="H191" s="472" t="s">
        <v>2138</v>
      </c>
      <c r="I191" s="452" t="s">
        <v>72</v>
      </c>
      <c r="J191" s="453">
        <v>1540520</v>
      </c>
      <c r="K191" s="471">
        <v>4329</v>
      </c>
      <c r="L191" s="455">
        <v>1036191</v>
      </c>
      <c r="M191" s="456">
        <v>0</v>
      </c>
      <c r="N191" s="456">
        <v>0</v>
      </c>
      <c r="O191" s="456">
        <v>0</v>
      </c>
      <c r="P191" s="456"/>
      <c r="Q191" s="456"/>
      <c r="R191" s="456"/>
      <c r="S191" s="456"/>
      <c r="T191" s="456"/>
      <c r="U191" s="456"/>
      <c r="V191" s="456"/>
      <c r="W191" s="456"/>
      <c r="X191" s="456"/>
      <c r="Y191" s="456">
        <f t="shared" si="10"/>
        <v>0</v>
      </c>
      <c r="Z191" s="457">
        <v>500000</v>
      </c>
      <c r="AA191" s="468" t="s">
        <v>2037</v>
      </c>
      <c r="AB191" s="459">
        <v>44222</v>
      </c>
      <c r="AC191" s="464">
        <v>44225</v>
      </c>
      <c r="AD191" s="457"/>
      <c r="AE191" s="469"/>
      <c r="AF191" s="463"/>
      <c r="AG191" s="464"/>
      <c r="AH191" s="457"/>
      <c r="AI191" s="468"/>
      <c r="AJ191" s="463"/>
      <c r="AK191" s="464"/>
      <c r="AL191" s="457"/>
      <c r="AM191" s="468"/>
      <c r="AN191" s="463"/>
      <c r="AO191" s="464"/>
      <c r="AP191" s="457"/>
      <c r="AQ191" s="468"/>
      <c r="AR191" s="463"/>
      <c r="AS191" s="464"/>
      <c r="AT191" s="37">
        <f t="shared" si="8"/>
        <v>500000</v>
      </c>
      <c r="AU191" s="465">
        <f t="shared" si="9"/>
        <v>500000</v>
      </c>
      <c r="AV191" s="466"/>
    </row>
    <row r="192" spans="2:48" s="26" customFormat="1" x14ac:dyDescent="0.2">
      <c r="B192" s="27">
        <f t="shared" si="11"/>
        <v>176</v>
      </c>
      <c r="C192" s="447" t="s">
        <v>39</v>
      </c>
      <c r="D192" s="448">
        <v>40006486</v>
      </c>
      <c r="E192" s="449" t="s">
        <v>2258</v>
      </c>
      <c r="F192" s="450" t="s">
        <v>147</v>
      </c>
      <c r="G192" s="451" t="s">
        <v>2025</v>
      </c>
      <c r="H192" s="472" t="s">
        <v>2106</v>
      </c>
      <c r="I192" s="452" t="s">
        <v>57</v>
      </c>
      <c r="J192" s="453">
        <v>1573192</v>
      </c>
      <c r="K192" s="467">
        <v>4329</v>
      </c>
      <c r="L192" s="456">
        <v>768863</v>
      </c>
      <c r="M192" s="456">
        <v>0</v>
      </c>
      <c r="N192" s="456">
        <v>0</v>
      </c>
      <c r="O192" s="456">
        <v>230908</v>
      </c>
      <c r="P192" s="456"/>
      <c r="Q192" s="456"/>
      <c r="R192" s="456"/>
      <c r="S192" s="456"/>
      <c r="T192" s="456"/>
      <c r="U192" s="456"/>
      <c r="V192" s="456"/>
      <c r="W192" s="456"/>
      <c r="X192" s="456"/>
      <c r="Y192" s="456">
        <f t="shared" si="10"/>
        <v>230908</v>
      </c>
      <c r="Z192" s="457">
        <v>800000</v>
      </c>
      <c r="AA192" s="468" t="s">
        <v>2020</v>
      </c>
      <c r="AB192" s="459">
        <v>44232</v>
      </c>
      <c r="AC192" s="464">
        <v>44251</v>
      </c>
      <c r="AD192" s="457"/>
      <c r="AE192" s="469"/>
      <c r="AF192" s="463"/>
      <c r="AG192" s="464"/>
      <c r="AH192" s="457"/>
      <c r="AI192" s="468"/>
      <c r="AJ192" s="463"/>
      <c r="AK192" s="464"/>
      <c r="AL192" s="457"/>
      <c r="AM192" s="468"/>
      <c r="AN192" s="463"/>
      <c r="AO192" s="464"/>
      <c r="AP192" s="457"/>
      <c r="AQ192" s="468"/>
      <c r="AR192" s="463"/>
      <c r="AS192" s="464"/>
      <c r="AT192" s="37">
        <f t="shared" si="8"/>
        <v>800000</v>
      </c>
      <c r="AU192" s="465">
        <f t="shared" si="9"/>
        <v>569092</v>
      </c>
      <c r="AV192" s="466"/>
    </row>
    <row r="193" spans="2:48" s="26" customFormat="1" x14ac:dyDescent="0.2">
      <c r="B193" s="27">
        <f t="shared" si="11"/>
        <v>177</v>
      </c>
      <c r="C193" s="447" t="s">
        <v>39</v>
      </c>
      <c r="D193" s="448">
        <v>40006524</v>
      </c>
      <c r="E193" s="449" t="s">
        <v>2259</v>
      </c>
      <c r="F193" s="450" t="s">
        <v>147</v>
      </c>
      <c r="G193" s="451" t="s">
        <v>2025</v>
      </c>
      <c r="H193" s="472" t="s">
        <v>2072</v>
      </c>
      <c r="I193" s="452" t="s">
        <v>72</v>
      </c>
      <c r="J193" s="453">
        <v>250841</v>
      </c>
      <c r="K193" s="471">
        <v>2603</v>
      </c>
      <c r="L193" s="455">
        <v>247238</v>
      </c>
      <c r="M193" s="456">
        <v>0</v>
      </c>
      <c r="N193" s="456">
        <v>0</v>
      </c>
      <c r="O193" s="456">
        <v>0</v>
      </c>
      <c r="P193" s="456"/>
      <c r="Q193" s="456"/>
      <c r="R193" s="456"/>
      <c r="S193" s="456"/>
      <c r="T193" s="456"/>
      <c r="U193" s="456"/>
      <c r="V193" s="456"/>
      <c r="W193" s="456"/>
      <c r="X193" s="456"/>
      <c r="Y193" s="456">
        <f t="shared" si="10"/>
        <v>0</v>
      </c>
      <c r="Z193" s="457">
        <v>1000</v>
      </c>
      <c r="AA193" s="468" t="s">
        <v>2037</v>
      </c>
      <c r="AB193" s="459">
        <v>44222</v>
      </c>
      <c r="AC193" s="464">
        <v>44225</v>
      </c>
      <c r="AD193" s="457"/>
      <c r="AE193" s="469"/>
      <c r="AF193" s="463"/>
      <c r="AG193" s="464"/>
      <c r="AH193" s="457"/>
      <c r="AI193" s="468"/>
      <c r="AJ193" s="463"/>
      <c r="AK193" s="464"/>
      <c r="AL193" s="457"/>
      <c r="AM193" s="468"/>
      <c r="AN193" s="463"/>
      <c r="AO193" s="464"/>
      <c r="AP193" s="457"/>
      <c r="AQ193" s="468"/>
      <c r="AR193" s="463"/>
      <c r="AS193" s="464"/>
      <c r="AT193" s="37">
        <f t="shared" si="8"/>
        <v>1000</v>
      </c>
      <c r="AU193" s="465">
        <f t="shared" si="9"/>
        <v>1000</v>
      </c>
      <c r="AV193" s="466"/>
    </row>
    <row r="194" spans="2:48" s="26" customFormat="1" x14ac:dyDescent="0.2">
      <c r="B194" s="27">
        <f t="shared" si="11"/>
        <v>178</v>
      </c>
      <c r="C194" s="447" t="s">
        <v>39</v>
      </c>
      <c r="D194" s="448">
        <v>40006858</v>
      </c>
      <c r="E194" s="449" t="s">
        <v>2260</v>
      </c>
      <c r="F194" s="450" t="s">
        <v>147</v>
      </c>
      <c r="G194" s="451" t="s">
        <v>2025</v>
      </c>
      <c r="H194" s="472" t="s">
        <v>2072</v>
      </c>
      <c r="I194" s="452" t="s">
        <v>72</v>
      </c>
      <c r="J194" s="453">
        <v>1607751</v>
      </c>
      <c r="K194" s="471">
        <v>4575</v>
      </c>
      <c r="L194" s="455">
        <v>1602176</v>
      </c>
      <c r="M194" s="456">
        <v>0</v>
      </c>
      <c r="N194" s="456">
        <v>0</v>
      </c>
      <c r="O194" s="456">
        <v>0</v>
      </c>
      <c r="P194" s="456"/>
      <c r="Q194" s="456"/>
      <c r="R194" s="456"/>
      <c r="S194" s="456"/>
      <c r="T194" s="456"/>
      <c r="U194" s="456"/>
      <c r="V194" s="456"/>
      <c r="W194" s="456"/>
      <c r="X194" s="456"/>
      <c r="Y194" s="456">
        <f t="shared" si="10"/>
        <v>0</v>
      </c>
      <c r="Z194" s="457">
        <v>1000</v>
      </c>
      <c r="AA194" s="468" t="s">
        <v>2037</v>
      </c>
      <c r="AB194" s="459">
        <v>44222</v>
      </c>
      <c r="AC194" s="464">
        <v>44225</v>
      </c>
      <c r="AD194" s="457"/>
      <c r="AE194" s="469"/>
      <c r="AF194" s="463"/>
      <c r="AG194" s="464"/>
      <c r="AH194" s="457"/>
      <c r="AI194" s="468"/>
      <c r="AJ194" s="463"/>
      <c r="AK194" s="464"/>
      <c r="AL194" s="457"/>
      <c r="AM194" s="468"/>
      <c r="AN194" s="463"/>
      <c r="AO194" s="464"/>
      <c r="AP194" s="457"/>
      <c r="AQ194" s="468"/>
      <c r="AR194" s="463"/>
      <c r="AS194" s="464"/>
      <c r="AT194" s="37">
        <f t="shared" si="8"/>
        <v>1000</v>
      </c>
      <c r="AU194" s="465">
        <f t="shared" si="9"/>
        <v>1000</v>
      </c>
      <c r="AV194" s="466"/>
    </row>
    <row r="195" spans="2:48" s="26" customFormat="1" x14ac:dyDescent="0.2">
      <c r="B195" s="27">
        <f t="shared" si="11"/>
        <v>179</v>
      </c>
      <c r="C195" s="447" t="s">
        <v>39</v>
      </c>
      <c r="D195" s="448">
        <v>40006862</v>
      </c>
      <c r="E195" s="449" t="s">
        <v>2261</v>
      </c>
      <c r="F195" s="450" t="s">
        <v>147</v>
      </c>
      <c r="G195" s="451" t="s">
        <v>2025</v>
      </c>
      <c r="H195" s="472" t="s">
        <v>2030</v>
      </c>
      <c r="I195" s="452" t="s">
        <v>57</v>
      </c>
      <c r="J195" s="454">
        <v>403876</v>
      </c>
      <c r="K195" s="453">
        <v>400668</v>
      </c>
      <c r="L195" s="456">
        <v>0</v>
      </c>
      <c r="M195" s="456">
        <v>0</v>
      </c>
      <c r="N195" s="456">
        <v>2308</v>
      </c>
      <c r="O195" s="456">
        <v>0</v>
      </c>
      <c r="P195" s="456"/>
      <c r="Q195" s="456"/>
      <c r="R195" s="456"/>
      <c r="S195" s="456"/>
      <c r="T195" s="456"/>
      <c r="U195" s="456"/>
      <c r="V195" s="456"/>
      <c r="W195" s="456"/>
      <c r="X195" s="456"/>
      <c r="Y195" s="456">
        <f t="shared" si="10"/>
        <v>2308</v>
      </c>
      <c r="Z195" s="457">
        <v>2308</v>
      </c>
      <c r="AA195" s="468" t="s">
        <v>2060</v>
      </c>
      <c r="AB195" s="459">
        <v>44237</v>
      </c>
      <c r="AC195" s="464">
        <v>44251</v>
      </c>
      <c r="AD195" s="457"/>
      <c r="AE195" s="469"/>
      <c r="AF195" s="463"/>
      <c r="AG195" s="464"/>
      <c r="AH195" s="457"/>
      <c r="AI195" s="468"/>
      <c r="AJ195" s="463"/>
      <c r="AK195" s="464"/>
      <c r="AL195" s="457"/>
      <c r="AM195" s="468"/>
      <c r="AN195" s="463"/>
      <c r="AO195" s="464"/>
      <c r="AP195" s="457"/>
      <c r="AQ195" s="468"/>
      <c r="AR195" s="463"/>
      <c r="AS195" s="464"/>
      <c r="AT195" s="37">
        <f t="shared" si="8"/>
        <v>2308</v>
      </c>
      <c r="AU195" s="465">
        <f t="shared" si="9"/>
        <v>0</v>
      </c>
      <c r="AV195" s="466"/>
    </row>
    <row r="196" spans="2:48" s="26" customFormat="1" x14ac:dyDescent="0.2">
      <c r="B196" s="27">
        <f t="shared" si="11"/>
        <v>180</v>
      </c>
      <c r="C196" s="447" t="s">
        <v>39</v>
      </c>
      <c r="D196" s="448">
        <v>40006874</v>
      </c>
      <c r="E196" s="449" t="s">
        <v>2262</v>
      </c>
      <c r="F196" s="450" t="s">
        <v>147</v>
      </c>
      <c r="G196" s="451" t="s">
        <v>2025</v>
      </c>
      <c r="H196" s="472" t="s">
        <v>2106</v>
      </c>
      <c r="I196" s="452" t="s">
        <v>57</v>
      </c>
      <c r="J196" s="454">
        <v>1451568</v>
      </c>
      <c r="K196" s="453">
        <v>756702</v>
      </c>
      <c r="L196" s="456">
        <v>134687</v>
      </c>
      <c r="M196" s="456">
        <v>0</v>
      </c>
      <c r="N196" s="456">
        <v>276061</v>
      </c>
      <c r="O196" s="456">
        <v>114609</v>
      </c>
      <c r="P196" s="456"/>
      <c r="Q196" s="456"/>
      <c r="R196" s="456"/>
      <c r="S196" s="456"/>
      <c r="T196" s="456"/>
      <c r="U196" s="456"/>
      <c r="V196" s="456"/>
      <c r="W196" s="456"/>
      <c r="X196" s="456"/>
      <c r="Y196" s="456">
        <f t="shared" si="10"/>
        <v>390670</v>
      </c>
      <c r="Z196" s="457">
        <v>560179</v>
      </c>
      <c r="AA196" s="468" t="s">
        <v>2060</v>
      </c>
      <c r="AB196" s="459">
        <v>44237</v>
      </c>
      <c r="AC196" s="464">
        <v>44251</v>
      </c>
      <c r="AD196" s="457"/>
      <c r="AE196" s="469"/>
      <c r="AF196" s="463"/>
      <c r="AG196" s="464"/>
      <c r="AH196" s="457"/>
      <c r="AI196" s="468"/>
      <c r="AJ196" s="463"/>
      <c r="AK196" s="464"/>
      <c r="AL196" s="457"/>
      <c r="AM196" s="468"/>
      <c r="AN196" s="463"/>
      <c r="AO196" s="464"/>
      <c r="AP196" s="457"/>
      <c r="AQ196" s="468"/>
      <c r="AR196" s="463"/>
      <c r="AS196" s="464"/>
      <c r="AT196" s="37">
        <f t="shared" si="8"/>
        <v>560179</v>
      </c>
      <c r="AU196" s="465">
        <f t="shared" si="9"/>
        <v>169509</v>
      </c>
      <c r="AV196" s="466"/>
    </row>
    <row r="197" spans="2:48" s="26" customFormat="1" x14ac:dyDescent="0.2">
      <c r="B197" s="27">
        <f t="shared" si="11"/>
        <v>181</v>
      </c>
      <c r="C197" s="447" t="s">
        <v>39</v>
      </c>
      <c r="D197" s="448">
        <v>40006966</v>
      </c>
      <c r="E197" s="449" t="s">
        <v>2263</v>
      </c>
      <c r="F197" s="450" t="s">
        <v>193</v>
      </c>
      <c r="G197" s="451" t="s">
        <v>2025</v>
      </c>
      <c r="H197" s="472" t="s">
        <v>2108</v>
      </c>
      <c r="I197" s="452" t="s">
        <v>72</v>
      </c>
      <c r="J197" s="453">
        <v>119673</v>
      </c>
      <c r="K197" s="471">
        <v>0</v>
      </c>
      <c r="L197" s="455">
        <v>84775</v>
      </c>
      <c r="M197" s="456">
        <v>0</v>
      </c>
      <c r="N197" s="456">
        <v>0</v>
      </c>
      <c r="O197" s="456">
        <v>0</v>
      </c>
      <c r="P197" s="456"/>
      <c r="Q197" s="456"/>
      <c r="R197" s="456"/>
      <c r="S197" s="456"/>
      <c r="T197" s="456"/>
      <c r="U197" s="456"/>
      <c r="V197" s="456"/>
      <c r="W197" s="456"/>
      <c r="X197" s="456"/>
      <c r="Y197" s="456">
        <f t="shared" si="10"/>
        <v>0</v>
      </c>
      <c r="Z197" s="457">
        <v>34790</v>
      </c>
      <c r="AA197" s="468" t="s">
        <v>2037</v>
      </c>
      <c r="AB197" s="459">
        <v>44222</v>
      </c>
      <c r="AC197" s="464">
        <v>44225</v>
      </c>
      <c r="AD197" s="457"/>
      <c r="AE197" s="469"/>
      <c r="AF197" s="463"/>
      <c r="AG197" s="464"/>
      <c r="AH197" s="457"/>
      <c r="AI197" s="468"/>
      <c r="AJ197" s="463"/>
      <c r="AK197" s="464"/>
      <c r="AL197" s="457"/>
      <c r="AM197" s="468"/>
      <c r="AN197" s="463"/>
      <c r="AO197" s="464"/>
      <c r="AP197" s="457"/>
      <c r="AQ197" s="468"/>
      <c r="AR197" s="463"/>
      <c r="AS197" s="464"/>
      <c r="AT197" s="37">
        <f t="shared" si="8"/>
        <v>34790</v>
      </c>
      <c r="AU197" s="465">
        <f t="shared" si="9"/>
        <v>34790</v>
      </c>
      <c r="AV197" s="466"/>
    </row>
    <row r="198" spans="2:48" s="26" customFormat="1" x14ac:dyDescent="0.2">
      <c r="B198" s="27">
        <f t="shared" si="11"/>
        <v>182</v>
      </c>
      <c r="C198" s="447" t="s">
        <v>39</v>
      </c>
      <c r="D198" s="448">
        <v>40008206</v>
      </c>
      <c r="E198" s="449" t="s">
        <v>2264</v>
      </c>
      <c r="F198" s="450" t="s">
        <v>147</v>
      </c>
      <c r="G198" s="451" t="s">
        <v>2025</v>
      </c>
      <c r="H198" s="472" t="s">
        <v>2044</v>
      </c>
      <c r="I198" s="452" t="s">
        <v>57</v>
      </c>
      <c r="J198" s="454">
        <v>2000679</v>
      </c>
      <c r="K198" s="453">
        <v>603330</v>
      </c>
      <c r="L198" s="456">
        <v>81395</v>
      </c>
      <c r="M198" s="456">
        <v>0</v>
      </c>
      <c r="N198" s="456">
        <v>232873</v>
      </c>
      <c r="O198" s="456">
        <v>411871</v>
      </c>
      <c r="P198" s="456"/>
      <c r="Q198" s="456"/>
      <c r="R198" s="456"/>
      <c r="S198" s="456"/>
      <c r="T198" s="456"/>
      <c r="U198" s="456"/>
      <c r="V198" s="456"/>
      <c r="W198" s="456"/>
      <c r="X198" s="456"/>
      <c r="Y198" s="456">
        <f t="shared" si="10"/>
        <v>644744</v>
      </c>
      <c r="Z198" s="457">
        <v>1315954</v>
      </c>
      <c r="AA198" s="468" t="s">
        <v>2060</v>
      </c>
      <c r="AB198" s="459">
        <v>44237</v>
      </c>
      <c r="AC198" s="464">
        <v>44251</v>
      </c>
      <c r="AD198" s="457"/>
      <c r="AE198" s="469"/>
      <c r="AF198" s="463"/>
      <c r="AG198" s="464"/>
      <c r="AH198" s="457"/>
      <c r="AI198" s="468"/>
      <c r="AJ198" s="463"/>
      <c r="AK198" s="464"/>
      <c r="AL198" s="457"/>
      <c r="AM198" s="468"/>
      <c r="AN198" s="463"/>
      <c r="AO198" s="464"/>
      <c r="AP198" s="457"/>
      <c r="AQ198" s="468"/>
      <c r="AR198" s="463"/>
      <c r="AS198" s="464"/>
      <c r="AT198" s="37">
        <f t="shared" si="8"/>
        <v>1315954</v>
      </c>
      <c r="AU198" s="465">
        <f t="shared" si="9"/>
        <v>671210</v>
      </c>
      <c r="AV198" s="466"/>
    </row>
    <row r="199" spans="2:48" s="26" customFormat="1" x14ac:dyDescent="0.2">
      <c r="B199" s="27">
        <f t="shared" si="11"/>
        <v>183</v>
      </c>
      <c r="C199" s="447" t="s">
        <v>39</v>
      </c>
      <c r="D199" s="448">
        <v>40008227</v>
      </c>
      <c r="E199" s="449" t="s">
        <v>2265</v>
      </c>
      <c r="F199" s="450" t="s">
        <v>147</v>
      </c>
      <c r="G199" s="451" t="s">
        <v>2025</v>
      </c>
      <c r="H199" s="472" t="s">
        <v>2044</v>
      </c>
      <c r="I199" s="452" t="s">
        <v>72</v>
      </c>
      <c r="J199" s="453">
        <v>335396</v>
      </c>
      <c r="K199" s="471">
        <v>2673</v>
      </c>
      <c r="L199" s="455">
        <v>252723</v>
      </c>
      <c r="M199" s="456">
        <v>0</v>
      </c>
      <c r="N199" s="456">
        <v>0</v>
      </c>
      <c r="O199" s="456">
        <v>0</v>
      </c>
      <c r="P199" s="456"/>
      <c r="Q199" s="456"/>
      <c r="R199" s="456"/>
      <c r="S199" s="456"/>
      <c r="T199" s="456"/>
      <c r="U199" s="456"/>
      <c r="V199" s="456"/>
      <c r="W199" s="456"/>
      <c r="X199" s="456"/>
      <c r="Y199" s="456">
        <f t="shared" si="10"/>
        <v>0</v>
      </c>
      <c r="Z199" s="457">
        <v>80000</v>
      </c>
      <c r="AA199" s="468" t="s">
        <v>2037</v>
      </c>
      <c r="AB199" s="459">
        <v>44222</v>
      </c>
      <c r="AC199" s="464">
        <v>44225</v>
      </c>
      <c r="AD199" s="457"/>
      <c r="AE199" s="469"/>
      <c r="AF199" s="463"/>
      <c r="AG199" s="464"/>
      <c r="AH199" s="457"/>
      <c r="AI199" s="468"/>
      <c r="AJ199" s="463"/>
      <c r="AK199" s="464"/>
      <c r="AL199" s="457"/>
      <c r="AM199" s="468"/>
      <c r="AN199" s="463"/>
      <c r="AO199" s="464"/>
      <c r="AP199" s="457"/>
      <c r="AQ199" s="468"/>
      <c r="AR199" s="463"/>
      <c r="AS199" s="464"/>
      <c r="AT199" s="37">
        <f t="shared" si="8"/>
        <v>80000</v>
      </c>
      <c r="AU199" s="465">
        <f t="shared" si="9"/>
        <v>80000</v>
      </c>
      <c r="AV199" s="466"/>
    </row>
    <row r="200" spans="2:48" s="26" customFormat="1" x14ac:dyDescent="0.2">
      <c r="B200" s="27">
        <f t="shared" si="11"/>
        <v>184</v>
      </c>
      <c r="C200" s="447" t="s">
        <v>39</v>
      </c>
      <c r="D200" s="448">
        <v>40008498</v>
      </c>
      <c r="E200" s="449" t="s">
        <v>2266</v>
      </c>
      <c r="F200" s="450" t="s">
        <v>147</v>
      </c>
      <c r="G200" s="451" t="s">
        <v>2025</v>
      </c>
      <c r="H200" s="472" t="s">
        <v>2044</v>
      </c>
      <c r="I200" s="452" t="s">
        <v>72</v>
      </c>
      <c r="J200" s="453">
        <v>270928</v>
      </c>
      <c r="K200" s="471">
        <v>2437</v>
      </c>
      <c r="L200" s="455">
        <v>188491</v>
      </c>
      <c r="M200" s="456">
        <v>0</v>
      </c>
      <c r="N200" s="456">
        <v>0</v>
      </c>
      <c r="O200" s="456">
        <v>0</v>
      </c>
      <c r="P200" s="456"/>
      <c r="Q200" s="456"/>
      <c r="R200" s="456"/>
      <c r="S200" s="456"/>
      <c r="T200" s="456"/>
      <c r="U200" s="456"/>
      <c r="V200" s="456"/>
      <c r="W200" s="456"/>
      <c r="X200" s="456"/>
      <c r="Y200" s="456">
        <f t="shared" si="10"/>
        <v>0</v>
      </c>
      <c r="Z200" s="457">
        <v>80000</v>
      </c>
      <c r="AA200" s="468" t="s">
        <v>2037</v>
      </c>
      <c r="AB200" s="459">
        <v>44222</v>
      </c>
      <c r="AC200" s="464">
        <v>44225</v>
      </c>
      <c r="AD200" s="457"/>
      <c r="AE200" s="469"/>
      <c r="AF200" s="463"/>
      <c r="AG200" s="464"/>
      <c r="AH200" s="457"/>
      <c r="AI200" s="468"/>
      <c r="AJ200" s="463"/>
      <c r="AK200" s="464"/>
      <c r="AL200" s="457"/>
      <c r="AM200" s="468"/>
      <c r="AN200" s="463"/>
      <c r="AO200" s="464"/>
      <c r="AP200" s="457"/>
      <c r="AQ200" s="468"/>
      <c r="AR200" s="463"/>
      <c r="AS200" s="464"/>
      <c r="AT200" s="37">
        <f t="shared" si="8"/>
        <v>80000</v>
      </c>
      <c r="AU200" s="465">
        <f t="shared" si="9"/>
        <v>80000</v>
      </c>
      <c r="AV200" s="466"/>
    </row>
    <row r="201" spans="2:48" s="26" customFormat="1" x14ac:dyDescent="0.2">
      <c r="B201" s="27">
        <f t="shared" si="11"/>
        <v>185</v>
      </c>
      <c r="C201" s="447" t="s">
        <v>39</v>
      </c>
      <c r="D201" s="448">
        <v>40008708</v>
      </c>
      <c r="E201" s="449" t="s">
        <v>2267</v>
      </c>
      <c r="F201" s="450" t="s">
        <v>147</v>
      </c>
      <c r="G201" s="451" t="s">
        <v>2025</v>
      </c>
      <c r="H201" s="472" t="s">
        <v>2064</v>
      </c>
      <c r="I201" s="452" t="s">
        <v>72</v>
      </c>
      <c r="J201" s="453">
        <v>1047242</v>
      </c>
      <c r="K201" s="471">
        <v>0</v>
      </c>
      <c r="L201" s="455">
        <v>1046242</v>
      </c>
      <c r="M201" s="456">
        <v>0</v>
      </c>
      <c r="N201" s="456">
        <v>0</v>
      </c>
      <c r="O201" s="456">
        <v>0</v>
      </c>
      <c r="P201" s="456"/>
      <c r="Q201" s="456"/>
      <c r="R201" s="456"/>
      <c r="S201" s="456"/>
      <c r="T201" s="456"/>
      <c r="U201" s="456"/>
      <c r="V201" s="456"/>
      <c r="W201" s="456"/>
      <c r="X201" s="456"/>
      <c r="Y201" s="456">
        <f t="shared" si="10"/>
        <v>0</v>
      </c>
      <c r="Z201" s="457">
        <v>1000</v>
      </c>
      <c r="AA201" s="468" t="s">
        <v>2037</v>
      </c>
      <c r="AB201" s="459">
        <v>44222</v>
      </c>
      <c r="AC201" s="464">
        <v>44225</v>
      </c>
      <c r="AD201" s="457"/>
      <c r="AE201" s="469"/>
      <c r="AF201" s="463"/>
      <c r="AG201" s="464"/>
      <c r="AH201" s="457"/>
      <c r="AI201" s="468"/>
      <c r="AJ201" s="463"/>
      <c r="AK201" s="464"/>
      <c r="AL201" s="457"/>
      <c r="AM201" s="468"/>
      <c r="AN201" s="463"/>
      <c r="AO201" s="464"/>
      <c r="AP201" s="457"/>
      <c r="AQ201" s="468"/>
      <c r="AR201" s="463"/>
      <c r="AS201" s="464"/>
      <c r="AT201" s="37">
        <f t="shared" si="8"/>
        <v>1000</v>
      </c>
      <c r="AU201" s="465">
        <f t="shared" si="9"/>
        <v>1000</v>
      </c>
      <c r="AV201" s="466"/>
    </row>
    <row r="202" spans="2:48" s="26" customFormat="1" ht="22.5" x14ac:dyDescent="0.2">
      <c r="B202" s="27">
        <f t="shared" si="11"/>
        <v>186</v>
      </c>
      <c r="C202" s="447" t="s">
        <v>39</v>
      </c>
      <c r="D202" s="448">
        <v>40009707</v>
      </c>
      <c r="E202" s="449" t="s">
        <v>2268</v>
      </c>
      <c r="F202" s="450" t="s">
        <v>193</v>
      </c>
      <c r="G202" s="451" t="s">
        <v>2025</v>
      </c>
      <c r="H202" s="472" t="s">
        <v>2247</v>
      </c>
      <c r="I202" s="452" t="s">
        <v>72</v>
      </c>
      <c r="J202" s="453">
        <v>443478</v>
      </c>
      <c r="K202" s="471">
        <v>0</v>
      </c>
      <c r="L202" s="455">
        <v>388263</v>
      </c>
      <c r="M202" s="456">
        <v>0</v>
      </c>
      <c r="N202" s="456">
        <v>0</v>
      </c>
      <c r="O202" s="456">
        <v>99792</v>
      </c>
      <c r="P202" s="456"/>
      <c r="Q202" s="456"/>
      <c r="R202" s="456"/>
      <c r="S202" s="456"/>
      <c r="T202" s="456"/>
      <c r="U202" s="456"/>
      <c r="V202" s="456"/>
      <c r="W202" s="456"/>
      <c r="X202" s="456"/>
      <c r="Y202" s="456">
        <f t="shared" si="10"/>
        <v>99792</v>
      </c>
      <c r="Z202" s="457">
        <v>200000</v>
      </c>
      <c r="AA202" s="468" t="s">
        <v>2037</v>
      </c>
      <c r="AB202" s="459">
        <v>44222</v>
      </c>
      <c r="AC202" s="464">
        <v>44225</v>
      </c>
      <c r="AD202" s="457"/>
      <c r="AE202" s="469"/>
      <c r="AF202" s="463"/>
      <c r="AG202" s="464"/>
      <c r="AH202" s="457"/>
      <c r="AI202" s="468"/>
      <c r="AJ202" s="463"/>
      <c r="AK202" s="464"/>
      <c r="AL202" s="457"/>
      <c r="AM202" s="468"/>
      <c r="AN202" s="463"/>
      <c r="AO202" s="464"/>
      <c r="AP202" s="457"/>
      <c r="AQ202" s="468"/>
      <c r="AR202" s="463"/>
      <c r="AS202" s="464"/>
      <c r="AT202" s="37">
        <f t="shared" si="8"/>
        <v>200000</v>
      </c>
      <c r="AU202" s="465">
        <f t="shared" si="9"/>
        <v>100208</v>
      </c>
      <c r="AV202" s="466"/>
    </row>
    <row r="203" spans="2:48" s="26" customFormat="1" ht="22.5" x14ac:dyDescent="0.2">
      <c r="B203" s="27">
        <f t="shared" si="11"/>
        <v>187</v>
      </c>
      <c r="C203" s="447" t="s">
        <v>39</v>
      </c>
      <c r="D203" s="448">
        <v>40009708</v>
      </c>
      <c r="E203" s="449" t="s">
        <v>2269</v>
      </c>
      <c r="F203" s="450" t="s">
        <v>193</v>
      </c>
      <c r="G203" s="451" t="s">
        <v>2025</v>
      </c>
      <c r="H203" s="472" t="s">
        <v>2247</v>
      </c>
      <c r="I203" s="452" t="s">
        <v>72</v>
      </c>
      <c r="J203" s="453">
        <v>487021</v>
      </c>
      <c r="K203" s="471">
        <v>0</v>
      </c>
      <c r="L203" s="455">
        <v>431389</v>
      </c>
      <c r="M203" s="456">
        <v>0</v>
      </c>
      <c r="N203" s="456">
        <v>0</v>
      </c>
      <c r="O203" s="456">
        <v>57271</v>
      </c>
      <c r="P203" s="456"/>
      <c r="Q203" s="456"/>
      <c r="R203" s="456"/>
      <c r="S203" s="456"/>
      <c r="T203" s="456"/>
      <c r="U203" s="456"/>
      <c r="V203" s="456"/>
      <c r="W203" s="456"/>
      <c r="X203" s="456"/>
      <c r="Y203" s="456">
        <f t="shared" si="10"/>
        <v>57271</v>
      </c>
      <c r="Z203" s="457">
        <v>200000</v>
      </c>
      <c r="AA203" s="468" t="s">
        <v>2037</v>
      </c>
      <c r="AB203" s="459">
        <v>44222</v>
      </c>
      <c r="AC203" s="464">
        <v>44225</v>
      </c>
      <c r="AD203" s="457"/>
      <c r="AE203" s="469"/>
      <c r="AF203" s="463"/>
      <c r="AG203" s="464"/>
      <c r="AH203" s="457"/>
      <c r="AI203" s="468"/>
      <c r="AJ203" s="463"/>
      <c r="AK203" s="464"/>
      <c r="AL203" s="457"/>
      <c r="AM203" s="468"/>
      <c r="AN203" s="463"/>
      <c r="AO203" s="464"/>
      <c r="AP203" s="457"/>
      <c r="AQ203" s="468"/>
      <c r="AR203" s="463"/>
      <c r="AS203" s="464"/>
      <c r="AT203" s="37">
        <f t="shared" si="8"/>
        <v>200000</v>
      </c>
      <c r="AU203" s="465">
        <f>AT203-Y203</f>
        <v>142729</v>
      </c>
      <c r="AV203" s="466"/>
    </row>
    <row r="204" spans="2:48" s="26" customFormat="1" x14ac:dyDescent="0.2">
      <c r="B204" s="27">
        <f t="shared" si="11"/>
        <v>188</v>
      </c>
      <c r="C204" s="447" t="s">
        <v>39</v>
      </c>
      <c r="D204" s="448">
        <v>40010041</v>
      </c>
      <c r="E204" s="449" t="s">
        <v>2270</v>
      </c>
      <c r="F204" s="450" t="s">
        <v>147</v>
      </c>
      <c r="G204" s="451" t="s">
        <v>2025</v>
      </c>
      <c r="H204" s="472" t="s">
        <v>2271</v>
      </c>
      <c r="I204" s="452" t="s">
        <v>72</v>
      </c>
      <c r="J204" s="453">
        <v>93396</v>
      </c>
      <c r="K204" s="467"/>
      <c r="L204" s="456">
        <v>19437</v>
      </c>
      <c r="M204" s="456">
        <v>73959</v>
      </c>
      <c r="N204" s="456">
        <v>0</v>
      </c>
      <c r="O204" s="456">
        <v>0</v>
      </c>
      <c r="P204" s="456"/>
      <c r="Q204" s="456"/>
      <c r="R204" s="456"/>
      <c r="S204" s="456"/>
      <c r="T204" s="456"/>
      <c r="U204" s="456"/>
      <c r="V204" s="456"/>
      <c r="W204" s="456"/>
      <c r="X204" s="456"/>
      <c r="Y204" s="456">
        <f t="shared" si="10"/>
        <v>73959</v>
      </c>
      <c r="Z204" s="457">
        <v>73959</v>
      </c>
      <c r="AA204" s="468" t="s">
        <v>559</v>
      </c>
      <c r="AB204" s="459">
        <v>44221</v>
      </c>
      <c r="AC204" s="464">
        <v>44225</v>
      </c>
      <c r="AD204" s="457"/>
      <c r="AE204" s="469"/>
      <c r="AF204" s="484"/>
      <c r="AG204" s="464"/>
      <c r="AH204" s="457"/>
      <c r="AI204" s="468"/>
      <c r="AJ204" s="463"/>
      <c r="AK204" s="464"/>
      <c r="AL204" s="457"/>
      <c r="AM204" s="468"/>
      <c r="AN204" s="463"/>
      <c r="AO204" s="464"/>
      <c r="AP204" s="457"/>
      <c r="AQ204" s="468"/>
      <c r="AR204" s="463"/>
      <c r="AS204" s="464"/>
      <c r="AT204" s="37">
        <f t="shared" si="8"/>
        <v>73959</v>
      </c>
      <c r="AU204" s="465">
        <f t="shared" ref="AU204:AU221" si="12">AT204-Y204</f>
        <v>0</v>
      </c>
      <c r="AV204" s="466"/>
    </row>
    <row r="205" spans="2:48" s="26" customFormat="1" x14ac:dyDescent="0.2">
      <c r="B205" s="27">
        <f t="shared" si="11"/>
        <v>189</v>
      </c>
      <c r="C205" s="447" t="s">
        <v>39</v>
      </c>
      <c r="D205" s="448">
        <v>40010045</v>
      </c>
      <c r="E205" s="449" t="s">
        <v>2272</v>
      </c>
      <c r="F205" s="450" t="s">
        <v>147</v>
      </c>
      <c r="G205" s="451" t="s">
        <v>2025</v>
      </c>
      <c r="H205" s="472" t="s">
        <v>2271</v>
      </c>
      <c r="I205" s="452" t="s">
        <v>72</v>
      </c>
      <c r="J205" s="453">
        <v>231819</v>
      </c>
      <c r="K205" s="467"/>
      <c r="L205" s="456">
        <v>36374</v>
      </c>
      <c r="M205" s="456">
        <v>195445</v>
      </c>
      <c r="N205" s="456">
        <v>0</v>
      </c>
      <c r="O205" s="456">
        <v>0</v>
      </c>
      <c r="P205" s="456"/>
      <c r="Q205" s="456"/>
      <c r="R205" s="456"/>
      <c r="S205" s="456"/>
      <c r="T205" s="456"/>
      <c r="U205" s="456"/>
      <c r="V205" s="456"/>
      <c r="W205" s="456"/>
      <c r="X205" s="456"/>
      <c r="Y205" s="456">
        <f t="shared" si="10"/>
        <v>195445</v>
      </c>
      <c r="Z205" s="457">
        <v>195445</v>
      </c>
      <c r="AA205" s="468" t="s">
        <v>559</v>
      </c>
      <c r="AB205" s="459">
        <v>44221</v>
      </c>
      <c r="AC205" s="464">
        <v>44225</v>
      </c>
      <c r="AD205" s="457"/>
      <c r="AE205" s="469"/>
      <c r="AF205" s="463"/>
      <c r="AG205" s="464"/>
      <c r="AH205" s="457"/>
      <c r="AI205" s="468"/>
      <c r="AJ205" s="463"/>
      <c r="AK205" s="464"/>
      <c r="AL205" s="457"/>
      <c r="AM205" s="468"/>
      <c r="AN205" s="463"/>
      <c r="AO205" s="464"/>
      <c r="AP205" s="457"/>
      <c r="AQ205" s="468"/>
      <c r="AR205" s="463"/>
      <c r="AS205" s="464"/>
      <c r="AT205" s="37">
        <f t="shared" si="8"/>
        <v>195445</v>
      </c>
      <c r="AU205" s="465">
        <f t="shared" si="12"/>
        <v>0</v>
      </c>
      <c r="AV205" s="466"/>
    </row>
    <row r="206" spans="2:48" s="26" customFormat="1" ht="22.5" x14ac:dyDescent="0.2">
      <c r="B206" s="27">
        <f t="shared" si="11"/>
        <v>190</v>
      </c>
      <c r="C206" s="447" t="s">
        <v>39</v>
      </c>
      <c r="D206" s="448">
        <v>40010064</v>
      </c>
      <c r="E206" s="449" t="s">
        <v>2273</v>
      </c>
      <c r="F206" s="450" t="s">
        <v>147</v>
      </c>
      <c r="G206" s="451" t="s">
        <v>2025</v>
      </c>
      <c r="H206" s="472" t="s">
        <v>2274</v>
      </c>
      <c r="I206" s="452" t="s">
        <v>72</v>
      </c>
      <c r="J206" s="453">
        <v>133785</v>
      </c>
      <c r="K206" s="467"/>
      <c r="L206" s="456">
        <v>16857</v>
      </c>
      <c r="M206" s="466">
        <v>116928</v>
      </c>
      <c r="N206" s="456">
        <v>0</v>
      </c>
      <c r="O206" s="456">
        <v>0</v>
      </c>
      <c r="P206" s="456"/>
      <c r="Q206" s="456"/>
      <c r="R206" s="456"/>
      <c r="S206" s="456"/>
      <c r="T206" s="456"/>
      <c r="U206" s="456"/>
      <c r="V206" s="456"/>
      <c r="W206" s="456"/>
      <c r="X206" s="456"/>
      <c r="Y206" s="456">
        <f t="shared" si="10"/>
        <v>116928</v>
      </c>
      <c r="Z206" s="457">
        <v>116928</v>
      </c>
      <c r="AA206" s="458" t="s">
        <v>559</v>
      </c>
      <c r="AB206" s="459">
        <v>44221</v>
      </c>
      <c r="AC206" s="460">
        <v>44225</v>
      </c>
      <c r="AD206" s="485"/>
      <c r="AE206" s="461"/>
      <c r="AF206" s="484"/>
      <c r="AG206" s="460"/>
      <c r="AH206" s="485"/>
      <c r="AI206" s="458"/>
      <c r="AJ206" s="484"/>
      <c r="AK206" s="460"/>
      <c r="AL206" s="485"/>
      <c r="AM206" s="458"/>
      <c r="AN206" s="484"/>
      <c r="AO206" s="464"/>
      <c r="AP206" s="485"/>
      <c r="AQ206" s="468"/>
      <c r="AR206" s="486"/>
      <c r="AS206" s="464"/>
      <c r="AT206" s="37">
        <f t="shared" si="8"/>
        <v>116928</v>
      </c>
      <c r="AU206" s="465">
        <f t="shared" si="12"/>
        <v>0</v>
      </c>
      <c r="AV206" s="466"/>
    </row>
    <row r="207" spans="2:48" s="26" customFormat="1" x14ac:dyDescent="0.2">
      <c r="B207" s="27">
        <f t="shared" si="11"/>
        <v>191</v>
      </c>
      <c r="C207" s="447" t="s">
        <v>39</v>
      </c>
      <c r="D207" s="448">
        <v>40010077</v>
      </c>
      <c r="E207" s="449" t="s">
        <v>2275</v>
      </c>
      <c r="F207" s="450" t="s">
        <v>147</v>
      </c>
      <c r="G207" s="451" t="s">
        <v>2025</v>
      </c>
      <c r="H207" s="472" t="s">
        <v>2274</v>
      </c>
      <c r="I207" s="452" t="s">
        <v>72</v>
      </c>
      <c r="J207" s="453">
        <v>185329</v>
      </c>
      <c r="K207" s="467"/>
      <c r="L207" s="456">
        <v>16190</v>
      </c>
      <c r="M207" s="456">
        <v>169139</v>
      </c>
      <c r="N207" s="456">
        <v>0</v>
      </c>
      <c r="O207" s="456">
        <v>0</v>
      </c>
      <c r="P207" s="456"/>
      <c r="Q207" s="456"/>
      <c r="R207" s="456"/>
      <c r="S207" s="456"/>
      <c r="T207" s="456"/>
      <c r="U207" s="456"/>
      <c r="V207" s="456"/>
      <c r="W207" s="456"/>
      <c r="X207" s="456"/>
      <c r="Y207" s="456">
        <f t="shared" si="10"/>
        <v>169139</v>
      </c>
      <c r="Z207" s="457">
        <v>169139</v>
      </c>
      <c r="AA207" s="458" t="s">
        <v>559</v>
      </c>
      <c r="AB207" s="459">
        <v>44221</v>
      </c>
      <c r="AC207" s="460">
        <v>44225</v>
      </c>
      <c r="AD207" s="457"/>
      <c r="AE207" s="461"/>
      <c r="AF207" s="484"/>
      <c r="AG207" s="460"/>
      <c r="AH207" s="467"/>
      <c r="AI207" s="458"/>
      <c r="AJ207" s="484"/>
      <c r="AK207" s="460"/>
      <c r="AL207" s="467"/>
      <c r="AM207" s="458"/>
      <c r="AN207" s="484"/>
      <c r="AO207" s="464"/>
      <c r="AP207" s="467"/>
      <c r="AQ207" s="468"/>
      <c r="AR207" s="486"/>
      <c r="AS207" s="464"/>
      <c r="AT207" s="37">
        <f t="shared" si="8"/>
        <v>169139</v>
      </c>
      <c r="AU207" s="465">
        <f t="shared" si="12"/>
        <v>0</v>
      </c>
      <c r="AV207" s="466"/>
    </row>
    <row r="208" spans="2:48" s="26" customFormat="1" x14ac:dyDescent="0.2">
      <c r="B208" s="27">
        <f t="shared" si="11"/>
        <v>192</v>
      </c>
      <c r="C208" s="447" t="s">
        <v>39</v>
      </c>
      <c r="D208" s="448">
        <v>40010615</v>
      </c>
      <c r="E208" s="449" t="s">
        <v>2276</v>
      </c>
      <c r="F208" s="450" t="s">
        <v>147</v>
      </c>
      <c r="G208" s="451" t="s">
        <v>2025</v>
      </c>
      <c r="H208" s="472" t="s">
        <v>2277</v>
      </c>
      <c r="I208" s="452" t="s">
        <v>72</v>
      </c>
      <c r="J208" s="453">
        <v>1185114</v>
      </c>
      <c r="K208" s="467">
        <v>0</v>
      </c>
      <c r="L208" s="456">
        <v>1000114</v>
      </c>
      <c r="M208" s="456">
        <v>0</v>
      </c>
      <c r="N208" s="456">
        <v>0</v>
      </c>
      <c r="O208" s="456">
        <v>0</v>
      </c>
      <c r="P208" s="456"/>
      <c r="Q208" s="456"/>
      <c r="R208" s="456"/>
      <c r="S208" s="456"/>
      <c r="T208" s="456"/>
      <c r="U208" s="456"/>
      <c r="V208" s="456"/>
      <c r="W208" s="456"/>
      <c r="X208" s="456"/>
      <c r="Y208" s="456">
        <f t="shared" si="10"/>
        <v>0</v>
      </c>
      <c r="Z208" s="457">
        <v>100000</v>
      </c>
      <c r="AA208" s="468" t="s">
        <v>2084</v>
      </c>
      <c r="AB208" s="459">
        <v>44259</v>
      </c>
      <c r="AC208" s="464">
        <v>44274</v>
      </c>
      <c r="AD208" s="457"/>
      <c r="AE208" s="469"/>
      <c r="AF208" s="463"/>
      <c r="AG208" s="464"/>
      <c r="AH208" s="457"/>
      <c r="AI208" s="468"/>
      <c r="AJ208" s="463"/>
      <c r="AK208" s="464"/>
      <c r="AL208" s="457"/>
      <c r="AM208" s="468"/>
      <c r="AN208" s="463"/>
      <c r="AO208" s="464"/>
      <c r="AP208" s="457"/>
      <c r="AQ208" s="468"/>
      <c r="AR208" s="463"/>
      <c r="AS208" s="464"/>
      <c r="AT208" s="37">
        <f t="shared" si="8"/>
        <v>100000</v>
      </c>
      <c r="AU208" s="465">
        <f t="shared" si="12"/>
        <v>100000</v>
      </c>
      <c r="AV208" s="466"/>
    </row>
    <row r="209" spans="2:48" s="26" customFormat="1" x14ac:dyDescent="0.2">
      <c r="B209" s="27">
        <f t="shared" si="11"/>
        <v>193</v>
      </c>
      <c r="C209" s="447" t="s">
        <v>39</v>
      </c>
      <c r="D209" s="448">
        <v>40013560</v>
      </c>
      <c r="E209" s="449" t="s">
        <v>2278</v>
      </c>
      <c r="F209" s="450" t="s">
        <v>147</v>
      </c>
      <c r="G209" s="451" t="s">
        <v>2025</v>
      </c>
      <c r="H209" s="472" t="s">
        <v>2212</v>
      </c>
      <c r="I209" s="452" t="s">
        <v>72</v>
      </c>
      <c r="J209" s="453">
        <v>223424</v>
      </c>
      <c r="K209" s="467"/>
      <c r="L209" s="456">
        <v>27476</v>
      </c>
      <c r="M209" s="456">
        <v>195948</v>
      </c>
      <c r="N209" s="456">
        <v>0</v>
      </c>
      <c r="O209" s="456">
        <v>0</v>
      </c>
      <c r="P209" s="456"/>
      <c r="Q209" s="456"/>
      <c r="R209" s="456"/>
      <c r="S209" s="456"/>
      <c r="T209" s="456"/>
      <c r="U209" s="456"/>
      <c r="V209" s="456"/>
      <c r="W209" s="456"/>
      <c r="X209" s="456"/>
      <c r="Y209" s="456">
        <f t="shared" si="10"/>
        <v>195948</v>
      </c>
      <c r="Z209" s="457">
        <v>195948</v>
      </c>
      <c r="AA209" s="458" t="s">
        <v>559</v>
      </c>
      <c r="AB209" s="459">
        <v>44221</v>
      </c>
      <c r="AC209" s="460">
        <v>44225</v>
      </c>
      <c r="AD209" s="457"/>
      <c r="AE209" s="461"/>
      <c r="AF209" s="484"/>
      <c r="AG209" s="460"/>
      <c r="AH209" s="467"/>
      <c r="AI209" s="458"/>
      <c r="AJ209" s="484"/>
      <c r="AK209" s="460"/>
      <c r="AL209" s="467"/>
      <c r="AM209" s="458"/>
      <c r="AN209" s="484"/>
      <c r="AO209" s="464"/>
      <c r="AP209" s="467"/>
      <c r="AQ209" s="468"/>
      <c r="AR209" s="486"/>
      <c r="AS209" s="464"/>
      <c r="AT209" s="37">
        <f t="shared" si="8"/>
        <v>195948</v>
      </c>
      <c r="AU209" s="465">
        <f t="shared" si="12"/>
        <v>0</v>
      </c>
      <c r="AV209" s="466"/>
    </row>
    <row r="210" spans="2:48" s="26" customFormat="1" x14ac:dyDescent="0.2">
      <c r="B210" s="27">
        <f t="shared" si="11"/>
        <v>194</v>
      </c>
      <c r="C210" s="447" t="s">
        <v>39</v>
      </c>
      <c r="D210" s="448">
        <v>40013821</v>
      </c>
      <c r="E210" s="449" t="s">
        <v>2279</v>
      </c>
      <c r="F210" s="450" t="s">
        <v>147</v>
      </c>
      <c r="G210" s="451" t="s">
        <v>2025</v>
      </c>
      <c r="H210" s="472" t="s">
        <v>2185</v>
      </c>
      <c r="I210" s="452" t="s">
        <v>72</v>
      </c>
      <c r="J210" s="453">
        <v>331350</v>
      </c>
      <c r="K210" s="467"/>
      <c r="L210" s="456">
        <v>34632</v>
      </c>
      <c r="M210" s="456">
        <v>296718</v>
      </c>
      <c r="N210" s="456">
        <v>0</v>
      </c>
      <c r="O210" s="456">
        <v>0</v>
      </c>
      <c r="P210" s="456"/>
      <c r="Q210" s="456"/>
      <c r="R210" s="456"/>
      <c r="S210" s="456"/>
      <c r="T210" s="456"/>
      <c r="U210" s="456"/>
      <c r="V210" s="456"/>
      <c r="W210" s="456"/>
      <c r="X210" s="456"/>
      <c r="Y210" s="456">
        <f t="shared" si="10"/>
        <v>296718</v>
      </c>
      <c r="Z210" s="457">
        <v>296718</v>
      </c>
      <c r="AA210" s="468" t="s">
        <v>559</v>
      </c>
      <c r="AB210" s="459">
        <v>44221</v>
      </c>
      <c r="AC210" s="464">
        <v>44225</v>
      </c>
      <c r="AD210" s="457"/>
      <c r="AE210" s="469"/>
      <c r="AF210" s="486"/>
      <c r="AG210" s="464"/>
      <c r="AH210" s="467"/>
      <c r="AI210" s="468"/>
      <c r="AJ210" s="486"/>
      <c r="AK210" s="464"/>
      <c r="AL210" s="467"/>
      <c r="AM210" s="468"/>
      <c r="AN210" s="486"/>
      <c r="AO210" s="464"/>
      <c r="AP210" s="467"/>
      <c r="AQ210" s="468"/>
      <c r="AR210" s="486"/>
      <c r="AS210" s="464"/>
      <c r="AT210" s="37">
        <f t="shared" ref="AT210:AT221" si="13">(Z210+AD210+AH210+AL210+AP210)</f>
        <v>296718</v>
      </c>
      <c r="AU210" s="465">
        <f t="shared" si="12"/>
        <v>0</v>
      </c>
      <c r="AV210" s="466"/>
    </row>
    <row r="211" spans="2:48" s="26" customFormat="1" x14ac:dyDescent="0.2">
      <c r="B211" s="27">
        <f t="shared" si="11"/>
        <v>195</v>
      </c>
      <c r="C211" s="447" t="s">
        <v>39</v>
      </c>
      <c r="D211" s="448">
        <v>40013889</v>
      </c>
      <c r="E211" s="449" t="s">
        <v>2280</v>
      </c>
      <c r="F211" s="450" t="s">
        <v>147</v>
      </c>
      <c r="G211" s="451" t="s">
        <v>2025</v>
      </c>
      <c r="H211" s="472" t="s">
        <v>2185</v>
      </c>
      <c r="I211" s="452" t="s">
        <v>72</v>
      </c>
      <c r="J211" s="453">
        <v>375657</v>
      </c>
      <c r="K211" s="467"/>
      <c r="L211" s="456">
        <v>27454</v>
      </c>
      <c r="M211" s="456">
        <v>348203</v>
      </c>
      <c r="N211" s="456">
        <v>0</v>
      </c>
      <c r="O211" s="456">
        <v>0</v>
      </c>
      <c r="P211" s="456"/>
      <c r="Q211" s="456"/>
      <c r="R211" s="456"/>
      <c r="S211" s="456"/>
      <c r="T211" s="456"/>
      <c r="U211" s="456"/>
      <c r="V211" s="456"/>
      <c r="W211" s="456"/>
      <c r="X211" s="456"/>
      <c r="Y211" s="456">
        <f t="shared" ref="Y211:Y221" si="14">SUM(M211:X211)</f>
        <v>348203</v>
      </c>
      <c r="Z211" s="457">
        <v>348203</v>
      </c>
      <c r="AA211" s="468" t="s">
        <v>559</v>
      </c>
      <c r="AB211" s="459">
        <v>44221</v>
      </c>
      <c r="AC211" s="464">
        <v>44225</v>
      </c>
      <c r="AD211" s="457"/>
      <c r="AE211" s="469"/>
      <c r="AF211" s="463"/>
      <c r="AG211" s="464"/>
      <c r="AH211" s="457"/>
      <c r="AI211" s="468"/>
      <c r="AJ211" s="463"/>
      <c r="AK211" s="464"/>
      <c r="AL211" s="457"/>
      <c r="AM211" s="468"/>
      <c r="AN211" s="463"/>
      <c r="AO211" s="464"/>
      <c r="AP211" s="457"/>
      <c r="AQ211" s="468"/>
      <c r="AR211" s="463"/>
      <c r="AS211" s="464"/>
      <c r="AT211" s="37">
        <f t="shared" si="13"/>
        <v>348203</v>
      </c>
      <c r="AU211" s="465">
        <f t="shared" si="12"/>
        <v>0</v>
      </c>
      <c r="AV211" s="466"/>
    </row>
    <row r="212" spans="2:48" s="26" customFormat="1" x14ac:dyDescent="0.2">
      <c r="B212" s="27">
        <f t="shared" ref="B212:B221" si="15">+B211+1</f>
        <v>196</v>
      </c>
      <c r="C212" s="447" t="s">
        <v>39</v>
      </c>
      <c r="D212" s="448">
        <v>40015334</v>
      </c>
      <c r="E212" s="449" t="s">
        <v>2281</v>
      </c>
      <c r="F212" s="450" t="s">
        <v>193</v>
      </c>
      <c r="G212" s="451" t="s">
        <v>2025</v>
      </c>
      <c r="H212" s="472" t="s">
        <v>2106</v>
      </c>
      <c r="I212" s="452" t="s">
        <v>72</v>
      </c>
      <c r="J212" s="453">
        <v>76602</v>
      </c>
      <c r="K212" s="471">
        <v>0</v>
      </c>
      <c r="L212" s="455">
        <v>41370</v>
      </c>
      <c r="M212" s="456">
        <v>0</v>
      </c>
      <c r="N212" s="456">
        <v>0</v>
      </c>
      <c r="O212" s="456">
        <v>5117</v>
      </c>
      <c r="P212" s="456"/>
      <c r="Q212" s="456"/>
      <c r="R212" s="456"/>
      <c r="S212" s="456"/>
      <c r="T212" s="456"/>
      <c r="U212" s="456"/>
      <c r="V212" s="456"/>
      <c r="W212" s="456"/>
      <c r="X212" s="456"/>
      <c r="Y212" s="456">
        <f t="shared" si="14"/>
        <v>5117</v>
      </c>
      <c r="Z212" s="457">
        <v>35117</v>
      </c>
      <c r="AA212" s="468" t="s">
        <v>2037</v>
      </c>
      <c r="AB212" s="459">
        <v>44222</v>
      </c>
      <c r="AC212" s="464">
        <v>44225</v>
      </c>
      <c r="AD212" s="457"/>
      <c r="AE212" s="469"/>
      <c r="AF212" s="463"/>
      <c r="AG212" s="464"/>
      <c r="AH212" s="457"/>
      <c r="AI212" s="468"/>
      <c r="AJ212" s="463"/>
      <c r="AK212" s="464"/>
      <c r="AL212" s="457"/>
      <c r="AM212" s="468"/>
      <c r="AN212" s="463"/>
      <c r="AO212" s="464"/>
      <c r="AP212" s="457"/>
      <c r="AQ212" s="468"/>
      <c r="AR212" s="463"/>
      <c r="AS212" s="464"/>
      <c r="AT212" s="37">
        <f t="shared" si="13"/>
        <v>35117</v>
      </c>
      <c r="AU212" s="465">
        <f t="shared" si="12"/>
        <v>30000</v>
      </c>
      <c r="AV212" s="466"/>
    </row>
    <row r="213" spans="2:48" s="26" customFormat="1" x14ac:dyDescent="0.2">
      <c r="B213" s="27">
        <f t="shared" si="15"/>
        <v>197</v>
      </c>
      <c r="C213" s="447" t="s">
        <v>39</v>
      </c>
      <c r="D213" s="448">
        <v>40016268</v>
      </c>
      <c r="E213" s="449" t="s">
        <v>2282</v>
      </c>
      <c r="F213" s="450" t="s">
        <v>147</v>
      </c>
      <c r="G213" s="451" t="s">
        <v>2025</v>
      </c>
      <c r="H213" s="472" t="s">
        <v>2158</v>
      </c>
      <c r="I213" s="452" t="s">
        <v>72</v>
      </c>
      <c r="J213" s="453">
        <v>6402490</v>
      </c>
      <c r="K213" s="467">
        <v>0</v>
      </c>
      <c r="L213" s="456">
        <v>6065110</v>
      </c>
      <c r="M213" s="456">
        <v>0</v>
      </c>
      <c r="N213" s="456">
        <v>0</v>
      </c>
      <c r="O213" s="456">
        <v>0</v>
      </c>
      <c r="P213" s="456"/>
      <c r="Q213" s="456"/>
      <c r="R213" s="456"/>
      <c r="S213" s="456"/>
      <c r="T213" s="456"/>
      <c r="U213" s="456"/>
      <c r="V213" s="456"/>
      <c r="W213" s="456"/>
      <c r="X213" s="456"/>
      <c r="Y213" s="456">
        <f t="shared" si="14"/>
        <v>0</v>
      </c>
      <c r="Z213" s="457">
        <v>107000</v>
      </c>
      <c r="AA213" s="468" t="s">
        <v>2084</v>
      </c>
      <c r="AB213" s="459">
        <v>44259</v>
      </c>
      <c r="AC213" s="464">
        <v>44274</v>
      </c>
      <c r="AD213" s="457"/>
      <c r="AE213" s="469"/>
      <c r="AF213" s="463"/>
      <c r="AG213" s="464"/>
      <c r="AH213" s="457"/>
      <c r="AI213" s="468"/>
      <c r="AJ213" s="463"/>
      <c r="AK213" s="464"/>
      <c r="AL213" s="457"/>
      <c r="AM213" s="468"/>
      <c r="AN213" s="463"/>
      <c r="AO213" s="464"/>
      <c r="AP213" s="457"/>
      <c r="AQ213" s="468"/>
      <c r="AR213" s="463"/>
      <c r="AS213" s="464"/>
      <c r="AT213" s="37">
        <f t="shared" si="13"/>
        <v>107000</v>
      </c>
      <c r="AU213" s="465">
        <f t="shared" si="12"/>
        <v>107000</v>
      </c>
      <c r="AV213" s="466"/>
    </row>
    <row r="214" spans="2:48" s="26" customFormat="1" ht="22.5" x14ac:dyDescent="0.2">
      <c r="B214" s="27">
        <f t="shared" si="15"/>
        <v>198</v>
      </c>
      <c r="C214" s="447" t="s">
        <v>39</v>
      </c>
      <c r="D214" s="448">
        <v>40016571</v>
      </c>
      <c r="E214" s="449" t="s">
        <v>2283</v>
      </c>
      <c r="F214" s="450" t="s">
        <v>147</v>
      </c>
      <c r="G214" s="451" t="s">
        <v>2025</v>
      </c>
      <c r="H214" s="472" t="s">
        <v>2277</v>
      </c>
      <c r="I214" s="452" t="s">
        <v>72</v>
      </c>
      <c r="J214" s="453">
        <v>391146</v>
      </c>
      <c r="K214" s="467"/>
      <c r="L214" s="456">
        <v>33006</v>
      </c>
      <c r="M214" s="456">
        <v>358140</v>
      </c>
      <c r="N214" s="456">
        <v>0</v>
      </c>
      <c r="O214" s="456">
        <v>0</v>
      </c>
      <c r="P214" s="456"/>
      <c r="Q214" s="456"/>
      <c r="R214" s="456"/>
      <c r="S214" s="456"/>
      <c r="T214" s="456"/>
      <c r="U214" s="456"/>
      <c r="V214" s="456"/>
      <c r="W214" s="456"/>
      <c r="X214" s="456"/>
      <c r="Y214" s="456">
        <f t="shared" si="14"/>
        <v>358140</v>
      </c>
      <c r="Z214" s="457">
        <v>358140</v>
      </c>
      <c r="AA214" s="468" t="s">
        <v>559</v>
      </c>
      <c r="AB214" s="459">
        <v>44221</v>
      </c>
      <c r="AC214" s="460">
        <v>44225</v>
      </c>
      <c r="AD214" s="457"/>
      <c r="AE214" s="469"/>
      <c r="AF214" s="463"/>
      <c r="AG214" s="464"/>
      <c r="AH214" s="457"/>
      <c r="AI214" s="468"/>
      <c r="AJ214" s="463"/>
      <c r="AK214" s="464"/>
      <c r="AL214" s="457"/>
      <c r="AM214" s="468"/>
      <c r="AN214" s="463"/>
      <c r="AO214" s="464"/>
      <c r="AP214" s="457"/>
      <c r="AQ214" s="468"/>
      <c r="AR214" s="463"/>
      <c r="AS214" s="464"/>
      <c r="AT214" s="37">
        <f t="shared" si="13"/>
        <v>358140</v>
      </c>
      <c r="AU214" s="465">
        <f t="shared" si="12"/>
        <v>0</v>
      </c>
      <c r="AV214" s="466"/>
    </row>
    <row r="215" spans="2:48" s="26" customFormat="1" x14ac:dyDescent="0.2">
      <c r="B215" s="27">
        <f t="shared" si="15"/>
        <v>199</v>
      </c>
      <c r="C215" s="447" t="s">
        <v>39</v>
      </c>
      <c r="D215" s="448">
        <v>40016789</v>
      </c>
      <c r="E215" s="449" t="s">
        <v>2284</v>
      </c>
      <c r="F215" s="450" t="s">
        <v>147</v>
      </c>
      <c r="G215" s="451" t="s">
        <v>2025</v>
      </c>
      <c r="H215" s="472" t="s">
        <v>2062</v>
      </c>
      <c r="I215" s="452" t="s">
        <v>72</v>
      </c>
      <c r="J215" s="453">
        <v>124611</v>
      </c>
      <c r="K215" s="467"/>
      <c r="L215" s="456">
        <v>17677</v>
      </c>
      <c r="M215" s="456">
        <v>106934</v>
      </c>
      <c r="N215" s="456">
        <v>0</v>
      </c>
      <c r="O215" s="456">
        <v>0</v>
      </c>
      <c r="P215" s="456"/>
      <c r="Q215" s="456"/>
      <c r="R215" s="456"/>
      <c r="S215" s="456"/>
      <c r="T215" s="456"/>
      <c r="U215" s="456"/>
      <c r="V215" s="456"/>
      <c r="W215" s="456"/>
      <c r="X215" s="456"/>
      <c r="Y215" s="456">
        <f t="shared" si="14"/>
        <v>106934</v>
      </c>
      <c r="Z215" s="457">
        <v>106934</v>
      </c>
      <c r="AA215" s="468" t="s">
        <v>559</v>
      </c>
      <c r="AB215" s="459">
        <v>44221</v>
      </c>
      <c r="AC215" s="460">
        <v>44225</v>
      </c>
      <c r="AD215" s="457"/>
      <c r="AE215" s="469"/>
      <c r="AF215" s="463"/>
      <c r="AG215" s="464"/>
      <c r="AH215" s="457"/>
      <c r="AI215" s="468"/>
      <c r="AJ215" s="463"/>
      <c r="AK215" s="464"/>
      <c r="AL215" s="457"/>
      <c r="AM215" s="468"/>
      <c r="AN215" s="463"/>
      <c r="AO215" s="464"/>
      <c r="AP215" s="457"/>
      <c r="AQ215" s="468"/>
      <c r="AR215" s="463"/>
      <c r="AS215" s="464"/>
      <c r="AT215" s="37">
        <f t="shared" si="13"/>
        <v>106934</v>
      </c>
      <c r="AU215" s="465">
        <f t="shared" si="12"/>
        <v>0</v>
      </c>
      <c r="AV215" s="466"/>
    </row>
    <row r="216" spans="2:48" s="26" customFormat="1" ht="22.5" x14ac:dyDescent="0.2">
      <c r="B216" s="27">
        <f t="shared" si="15"/>
        <v>200</v>
      </c>
      <c r="C216" s="447" t="s">
        <v>39</v>
      </c>
      <c r="D216" s="448">
        <v>40017246</v>
      </c>
      <c r="E216" s="449" t="s">
        <v>2285</v>
      </c>
      <c r="F216" s="450" t="s">
        <v>147</v>
      </c>
      <c r="G216" s="451" t="s">
        <v>2025</v>
      </c>
      <c r="H216" s="472" t="s">
        <v>2274</v>
      </c>
      <c r="I216" s="452" t="s">
        <v>72</v>
      </c>
      <c r="J216" s="453">
        <v>113414</v>
      </c>
      <c r="K216" s="467"/>
      <c r="L216" s="456">
        <v>4670</v>
      </c>
      <c r="M216" s="456">
        <v>108744</v>
      </c>
      <c r="N216" s="456">
        <v>0</v>
      </c>
      <c r="O216" s="456">
        <v>0</v>
      </c>
      <c r="P216" s="456"/>
      <c r="Q216" s="456"/>
      <c r="R216" s="456"/>
      <c r="S216" s="456"/>
      <c r="T216" s="456"/>
      <c r="U216" s="456"/>
      <c r="V216" s="456"/>
      <c r="W216" s="456"/>
      <c r="X216" s="456"/>
      <c r="Y216" s="456">
        <f t="shared" si="14"/>
        <v>108744</v>
      </c>
      <c r="Z216" s="457">
        <v>108744</v>
      </c>
      <c r="AA216" s="468" t="s">
        <v>559</v>
      </c>
      <c r="AB216" s="459">
        <v>44221</v>
      </c>
      <c r="AC216" s="460">
        <v>44225</v>
      </c>
      <c r="AD216" s="457"/>
      <c r="AE216" s="469"/>
      <c r="AF216" s="463"/>
      <c r="AG216" s="464"/>
      <c r="AH216" s="457"/>
      <c r="AI216" s="468"/>
      <c r="AJ216" s="463"/>
      <c r="AK216" s="464"/>
      <c r="AL216" s="457"/>
      <c r="AM216" s="468"/>
      <c r="AN216" s="463"/>
      <c r="AO216" s="464"/>
      <c r="AP216" s="457"/>
      <c r="AQ216" s="468"/>
      <c r="AR216" s="463"/>
      <c r="AS216" s="464"/>
      <c r="AT216" s="37">
        <f t="shared" si="13"/>
        <v>108744</v>
      </c>
      <c r="AU216" s="465">
        <f t="shared" si="12"/>
        <v>0</v>
      </c>
      <c r="AV216" s="466"/>
    </row>
    <row r="217" spans="2:48" s="26" customFormat="1" ht="22.5" x14ac:dyDescent="0.2">
      <c r="B217" s="27">
        <f t="shared" si="15"/>
        <v>201</v>
      </c>
      <c r="C217" s="447" t="s">
        <v>39</v>
      </c>
      <c r="D217" s="448">
        <v>40017931</v>
      </c>
      <c r="E217" s="449" t="s">
        <v>2286</v>
      </c>
      <c r="F217" s="450" t="s">
        <v>147</v>
      </c>
      <c r="G217" s="451" t="s">
        <v>2025</v>
      </c>
      <c r="H217" s="472" t="s">
        <v>2072</v>
      </c>
      <c r="I217" s="452" t="s">
        <v>72</v>
      </c>
      <c r="J217" s="453">
        <v>347719</v>
      </c>
      <c r="K217" s="467"/>
      <c r="L217" s="456">
        <v>52314</v>
      </c>
      <c r="M217" s="456">
        <v>295405</v>
      </c>
      <c r="N217" s="456">
        <v>0</v>
      </c>
      <c r="O217" s="456">
        <v>0</v>
      </c>
      <c r="P217" s="456"/>
      <c r="Q217" s="456"/>
      <c r="R217" s="456"/>
      <c r="S217" s="456"/>
      <c r="T217" s="456"/>
      <c r="U217" s="456"/>
      <c r="V217" s="456"/>
      <c r="W217" s="456"/>
      <c r="X217" s="456"/>
      <c r="Y217" s="456">
        <f t="shared" si="14"/>
        <v>295405</v>
      </c>
      <c r="Z217" s="457">
        <v>295405</v>
      </c>
      <c r="AA217" s="468" t="s">
        <v>559</v>
      </c>
      <c r="AB217" s="459">
        <v>44221</v>
      </c>
      <c r="AC217" s="464">
        <v>44225</v>
      </c>
      <c r="AD217" s="457"/>
      <c r="AE217" s="469"/>
      <c r="AF217" s="463"/>
      <c r="AG217" s="464"/>
      <c r="AH217" s="457"/>
      <c r="AI217" s="468"/>
      <c r="AJ217" s="463"/>
      <c r="AK217" s="464"/>
      <c r="AL217" s="457"/>
      <c r="AM217" s="468"/>
      <c r="AN217" s="463"/>
      <c r="AO217" s="464"/>
      <c r="AP217" s="457"/>
      <c r="AQ217" s="468"/>
      <c r="AR217" s="463"/>
      <c r="AS217" s="464"/>
      <c r="AT217" s="37">
        <f t="shared" si="13"/>
        <v>295405</v>
      </c>
      <c r="AU217" s="465">
        <f t="shared" si="12"/>
        <v>0</v>
      </c>
      <c r="AV217" s="466"/>
    </row>
    <row r="218" spans="2:48" s="26" customFormat="1" ht="22.5" x14ac:dyDescent="0.2">
      <c r="B218" s="27">
        <f t="shared" si="15"/>
        <v>202</v>
      </c>
      <c r="C218" s="447" t="s">
        <v>39</v>
      </c>
      <c r="D218" s="448">
        <v>40018610</v>
      </c>
      <c r="E218" s="449" t="s">
        <v>2287</v>
      </c>
      <c r="F218" s="450" t="s">
        <v>147</v>
      </c>
      <c r="G218" s="451" t="s">
        <v>2025</v>
      </c>
      <c r="H218" s="472" t="s">
        <v>2097</v>
      </c>
      <c r="I218" s="452" t="s">
        <v>72</v>
      </c>
      <c r="J218" s="453">
        <v>150552</v>
      </c>
      <c r="K218" s="467"/>
      <c r="L218" s="456">
        <v>11033</v>
      </c>
      <c r="M218" s="456">
        <v>139519</v>
      </c>
      <c r="N218" s="456">
        <v>0</v>
      </c>
      <c r="O218" s="456">
        <v>0</v>
      </c>
      <c r="P218" s="456"/>
      <c r="Q218" s="456"/>
      <c r="R218" s="456"/>
      <c r="S218" s="456"/>
      <c r="T218" s="456"/>
      <c r="U218" s="456"/>
      <c r="V218" s="456"/>
      <c r="W218" s="456"/>
      <c r="X218" s="456"/>
      <c r="Y218" s="456">
        <f t="shared" si="14"/>
        <v>139519</v>
      </c>
      <c r="Z218" s="457">
        <v>139519</v>
      </c>
      <c r="AA218" s="468" t="s">
        <v>559</v>
      </c>
      <c r="AB218" s="459">
        <v>44221</v>
      </c>
      <c r="AC218" s="464">
        <v>44225</v>
      </c>
      <c r="AD218" s="457"/>
      <c r="AE218" s="469"/>
      <c r="AF218" s="463"/>
      <c r="AG218" s="464"/>
      <c r="AH218" s="457"/>
      <c r="AI218" s="468"/>
      <c r="AJ218" s="463"/>
      <c r="AK218" s="464"/>
      <c r="AL218" s="457"/>
      <c r="AM218" s="468"/>
      <c r="AN218" s="463"/>
      <c r="AO218" s="464"/>
      <c r="AP218" s="457"/>
      <c r="AQ218" s="468"/>
      <c r="AR218" s="463"/>
      <c r="AS218" s="464"/>
      <c r="AT218" s="37">
        <f t="shared" si="13"/>
        <v>139519</v>
      </c>
      <c r="AU218" s="465">
        <f t="shared" si="12"/>
        <v>0</v>
      </c>
      <c r="AV218" s="466"/>
    </row>
    <row r="219" spans="2:48" s="26" customFormat="1" x14ac:dyDescent="0.2">
      <c r="B219" s="27">
        <f t="shared" si="15"/>
        <v>203</v>
      </c>
      <c r="C219" s="447" t="s">
        <v>39</v>
      </c>
      <c r="D219" s="448">
        <v>40018682</v>
      </c>
      <c r="E219" s="449" t="s">
        <v>2288</v>
      </c>
      <c r="F219" s="450" t="s">
        <v>147</v>
      </c>
      <c r="G219" s="451" t="s">
        <v>2025</v>
      </c>
      <c r="H219" s="472" t="s">
        <v>2086</v>
      </c>
      <c r="I219" s="452" t="s">
        <v>72</v>
      </c>
      <c r="J219" s="453">
        <v>246214</v>
      </c>
      <c r="K219" s="467"/>
      <c r="L219" s="456">
        <v>5579</v>
      </c>
      <c r="M219" s="456">
        <v>240635</v>
      </c>
      <c r="N219" s="456">
        <v>0</v>
      </c>
      <c r="O219" s="456">
        <v>0</v>
      </c>
      <c r="P219" s="456"/>
      <c r="Q219" s="456"/>
      <c r="R219" s="456"/>
      <c r="S219" s="456"/>
      <c r="T219" s="456"/>
      <c r="U219" s="456"/>
      <c r="V219" s="456"/>
      <c r="W219" s="456"/>
      <c r="X219" s="456"/>
      <c r="Y219" s="456">
        <f t="shared" si="14"/>
        <v>240635</v>
      </c>
      <c r="Z219" s="457">
        <v>240635</v>
      </c>
      <c r="AA219" s="468" t="s">
        <v>559</v>
      </c>
      <c r="AB219" s="459">
        <v>44221</v>
      </c>
      <c r="AC219" s="464">
        <v>44225</v>
      </c>
      <c r="AD219" s="457"/>
      <c r="AE219" s="469"/>
      <c r="AF219" s="463"/>
      <c r="AG219" s="464"/>
      <c r="AH219" s="457"/>
      <c r="AI219" s="468"/>
      <c r="AJ219" s="463"/>
      <c r="AK219" s="464"/>
      <c r="AL219" s="457"/>
      <c r="AM219" s="468"/>
      <c r="AN219" s="463"/>
      <c r="AO219" s="464"/>
      <c r="AP219" s="457"/>
      <c r="AQ219" s="468"/>
      <c r="AR219" s="463"/>
      <c r="AS219" s="464"/>
      <c r="AT219" s="37">
        <f t="shared" si="13"/>
        <v>240635</v>
      </c>
      <c r="AU219" s="465">
        <f t="shared" si="12"/>
        <v>0</v>
      </c>
      <c r="AV219" s="466"/>
    </row>
    <row r="220" spans="2:48" s="26" customFormat="1" x14ac:dyDescent="0.2">
      <c r="B220" s="27">
        <f t="shared" si="15"/>
        <v>204</v>
      </c>
      <c r="C220" s="447" t="s">
        <v>39</v>
      </c>
      <c r="D220" s="448">
        <v>40019245</v>
      </c>
      <c r="E220" s="449" t="s">
        <v>2289</v>
      </c>
      <c r="F220" s="450" t="s">
        <v>147</v>
      </c>
      <c r="G220" s="451" t="s">
        <v>2025</v>
      </c>
      <c r="H220" s="472" t="s">
        <v>2106</v>
      </c>
      <c r="I220" s="452" t="s">
        <v>72</v>
      </c>
      <c r="J220" s="453">
        <v>458736</v>
      </c>
      <c r="K220" s="471">
        <v>0</v>
      </c>
      <c r="L220" s="455">
        <v>408736</v>
      </c>
      <c r="M220" s="456">
        <v>0</v>
      </c>
      <c r="N220" s="456">
        <v>0</v>
      </c>
      <c r="O220" s="456">
        <v>0</v>
      </c>
      <c r="P220" s="456"/>
      <c r="Q220" s="456"/>
      <c r="R220" s="456"/>
      <c r="S220" s="456"/>
      <c r="T220" s="456"/>
      <c r="U220" s="456"/>
      <c r="V220" s="456"/>
      <c r="W220" s="456"/>
      <c r="X220" s="456"/>
      <c r="Y220" s="456">
        <f t="shared" si="14"/>
        <v>0</v>
      </c>
      <c r="Z220" s="457">
        <v>50000</v>
      </c>
      <c r="AA220" s="468" t="s">
        <v>2037</v>
      </c>
      <c r="AB220" s="459">
        <v>44222</v>
      </c>
      <c r="AC220" s="464">
        <v>44225</v>
      </c>
      <c r="AD220" s="457"/>
      <c r="AE220" s="469"/>
      <c r="AF220" s="463"/>
      <c r="AG220" s="464"/>
      <c r="AH220" s="457"/>
      <c r="AI220" s="468"/>
      <c r="AJ220" s="463"/>
      <c r="AK220" s="464"/>
      <c r="AL220" s="457"/>
      <c r="AM220" s="468"/>
      <c r="AN220" s="463"/>
      <c r="AO220" s="464"/>
      <c r="AP220" s="457"/>
      <c r="AQ220" s="468"/>
      <c r="AR220" s="463"/>
      <c r="AS220" s="464"/>
      <c r="AT220" s="37">
        <f t="shared" si="13"/>
        <v>50000</v>
      </c>
      <c r="AU220" s="465">
        <f t="shared" si="12"/>
        <v>50000</v>
      </c>
      <c r="AV220" s="466"/>
    </row>
    <row r="221" spans="2:48" s="26" customFormat="1" ht="22.5" x14ac:dyDescent="0.2">
      <c r="B221" s="27">
        <f t="shared" si="15"/>
        <v>205</v>
      </c>
      <c r="C221" s="447" t="s">
        <v>39</v>
      </c>
      <c r="D221" s="448">
        <v>40022373</v>
      </c>
      <c r="E221" s="449" t="s">
        <v>2290</v>
      </c>
      <c r="F221" s="450" t="s">
        <v>147</v>
      </c>
      <c r="G221" s="451" t="s">
        <v>2025</v>
      </c>
      <c r="H221" s="472" t="s">
        <v>2185</v>
      </c>
      <c r="I221" s="452" t="s">
        <v>72</v>
      </c>
      <c r="J221" s="453">
        <v>283338</v>
      </c>
      <c r="K221" s="467"/>
      <c r="L221" s="456">
        <v>8161</v>
      </c>
      <c r="M221" s="456">
        <v>275177</v>
      </c>
      <c r="N221" s="456">
        <v>0</v>
      </c>
      <c r="O221" s="456">
        <v>0</v>
      </c>
      <c r="P221" s="456"/>
      <c r="Q221" s="456"/>
      <c r="R221" s="456"/>
      <c r="S221" s="456"/>
      <c r="T221" s="456"/>
      <c r="U221" s="456"/>
      <c r="V221" s="456"/>
      <c r="W221" s="456"/>
      <c r="X221" s="456"/>
      <c r="Y221" s="456">
        <f t="shared" si="14"/>
        <v>275177</v>
      </c>
      <c r="Z221" s="457">
        <v>275177</v>
      </c>
      <c r="AA221" s="468" t="s">
        <v>559</v>
      </c>
      <c r="AB221" s="459">
        <v>44221</v>
      </c>
      <c r="AC221" s="464">
        <v>44225</v>
      </c>
      <c r="AD221" s="457"/>
      <c r="AE221" s="469"/>
      <c r="AF221" s="463"/>
      <c r="AG221" s="464"/>
      <c r="AH221" s="457"/>
      <c r="AI221" s="468"/>
      <c r="AJ221" s="463"/>
      <c r="AK221" s="464"/>
      <c r="AL221" s="457"/>
      <c r="AM221" s="468"/>
      <c r="AN221" s="463"/>
      <c r="AO221" s="464"/>
      <c r="AP221" s="457"/>
      <c r="AQ221" s="468"/>
      <c r="AR221" s="463"/>
      <c r="AS221" s="464"/>
      <c r="AT221" s="37">
        <f t="shared" si="13"/>
        <v>275177</v>
      </c>
      <c r="AU221" s="465">
        <f t="shared" si="12"/>
        <v>0</v>
      </c>
      <c r="AV221" s="466"/>
    </row>
    <row r="222" spans="2:48" s="26" customFormat="1" x14ac:dyDescent="0.2">
      <c r="B222" s="27"/>
      <c r="C222" s="447"/>
      <c r="D222" s="448"/>
      <c r="E222" s="449"/>
      <c r="F222" s="450"/>
      <c r="G222" s="451"/>
      <c r="H222" s="472"/>
      <c r="I222" s="452"/>
      <c r="J222" s="453"/>
      <c r="K222" s="467"/>
      <c r="L222" s="456"/>
      <c r="M222" s="456"/>
      <c r="N222" s="456"/>
      <c r="O222" s="456"/>
      <c r="P222" s="456"/>
      <c r="Q222" s="456"/>
      <c r="R222" s="456"/>
      <c r="S222" s="456"/>
      <c r="T222" s="456"/>
      <c r="U222" s="456"/>
      <c r="V222" s="456"/>
      <c r="W222" s="456"/>
      <c r="X222" s="456"/>
      <c r="Y222" s="456"/>
      <c r="Z222" s="457"/>
      <c r="AA222" s="468"/>
      <c r="AB222" s="463"/>
      <c r="AC222" s="464"/>
      <c r="AD222" s="457"/>
      <c r="AE222" s="469"/>
      <c r="AF222" s="463"/>
      <c r="AG222" s="464"/>
      <c r="AH222" s="457"/>
      <c r="AI222" s="468"/>
      <c r="AJ222" s="463"/>
      <c r="AK222" s="464"/>
      <c r="AL222" s="457"/>
      <c r="AM222" s="468"/>
      <c r="AN222" s="463"/>
      <c r="AO222" s="464"/>
      <c r="AP222" s="457"/>
      <c r="AQ222" s="468"/>
      <c r="AR222" s="463"/>
      <c r="AS222" s="464"/>
      <c r="AT222" s="37"/>
      <c r="AU222" s="465"/>
      <c r="AV222" s="466"/>
    </row>
    <row r="223" spans="2:48" s="26" customFormat="1" x14ac:dyDescent="0.25">
      <c r="B223" s="27"/>
      <c r="C223" s="27"/>
      <c r="D223" s="487"/>
      <c r="E223" s="488"/>
      <c r="F223" s="488"/>
      <c r="G223" s="489"/>
      <c r="H223" s="490"/>
      <c r="I223" s="448"/>
      <c r="J223" s="453"/>
      <c r="K223" s="456"/>
      <c r="L223" s="456"/>
      <c r="M223" s="456"/>
      <c r="N223" s="456"/>
      <c r="O223" s="456"/>
      <c r="P223" s="456"/>
      <c r="Q223" s="456"/>
      <c r="R223" s="456"/>
      <c r="S223" s="456"/>
      <c r="T223" s="456"/>
      <c r="U223" s="456"/>
      <c r="V223" s="456"/>
      <c r="W223" s="456"/>
      <c r="X223" s="456"/>
      <c r="Y223" s="456">
        <f t="shared" ref="Y223" si="16">SUM(M223:X223)</f>
        <v>0</v>
      </c>
      <c r="Z223" s="457"/>
      <c r="AA223" s="468"/>
      <c r="AB223" s="463"/>
      <c r="AC223" s="464"/>
      <c r="AD223" s="457"/>
      <c r="AE223" s="469"/>
      <c r="AF223" s="463"/>
      <c r="AG223" s="464"/>
      <c r="AH223" s="457"/>
      <c r="AI223" s="468"/>
      <c r="AJ223" s="463"/>
      <c r="AK223" s="464"/>
      <c r="AL223" s="457"/>
      <c r="AM223" s="468"/>
      <c r="AN223" s="463"/>
      <c r="AO223" s="464"/>
      <c r="AP223" s="457"/>
      <c r="AQ223" s="468"/>
      <c r="AR223" s="463"/>
      <c r="AS223" s="464"/>
      <c r="AT223" s="37"/>
      <c r="AU223" s="465"/>
      <c r="AV223" s="466"/>
    </row>
    <row r="224" spans="2:48" ht="15" customHeight="1" x14ac:dyDescent="0.2">
      <c r="B224" s="547" t="s">
        <v>40</v>
      </c>
      <c r="C224" s="548"/>
      <c r="D224" s="548"/>
      <c r="E224" s="548"/>
      <c r="F224" s="548"/>
      <c r="G224" s="548"/>
      <c r="H224" s="548"/>
      <c r="I224" s="549"/>
      <c r="J224" s="491">
        <f t="shared" ref="J224:Y224" si="17">SUBTOTAL(9,J17:J221)</f>
        <v>391147588</v>
      </c>
      <c r="K224" s="492">
        <f t="shared" si="17"/>
        <v>185734545</v>
      </c>
      <c r="L224" s="492">
        <f t="shared" si="17"/>
        <v>110410965</v>
      </c>
      <c r="M224" s="492">
        <f t="shared" si="17"/>
        <v>2920894</v>
      </c>
      <c r="N224" s="492">
        <f t="shared" si="17"/>
        <v>5969189</v>
      </c>
      <c r="O224" s="492">
        <f t="shared" si="17"/>
        <v>7915563</v>
      </c>
      <c r="P224" s="492">
        <f t="shared" si="17"/>
        <v>0</v>
      </c>
      <c r="Q224" s="492">
        <f t="shared" si="17"/>
        <v>0</v>
      </c>
      <c r="R224" s="492">
        <f t="shared" si="17"/>
        <v>0</v>
      </c>
      <c r="S224" s="492">
        <f t="shared" si="17"/>
        <v>0</v>
      </c>
      <c r="T224" s="492">
        <f t="shared" si="17"/>
        <v>0</v>
      </c>
      <c r="U224" s="492">
        <f t="shared" si="17"/>
        <v>0</v>
      </c>
      <c r="V224" s="492">
        <f t="shared" si="17"/>
        <v>0</v>
      </c>
      <c r="W224" s="492">
        <f t="shared" si="17"/>
        <v>0</v>
      </c>
      <c r="X224" s="492">
        <f t="shared" si="17"/>
        <v>0</v>
      </c>
      <c r="Y224" s="492">
        <f t="shared" si="17"/>
        <v>16805646</v>
      </c>
      <c r="Z224" s="492">
        <f>SUBTOTAL(9,Z17:Z221)</f>
        <v>66798789</v>
      </c>
      <c r="AA224" s="492"/>
      <c r="AB224" s="492"/>
      <c r="AC224" s="492"/>
      <c r="AD224" s="492">
        <f>SUBTOTAL(9,AD17:AD221)</f>
        <v>105360</v>
      </c>
      <c r="AE224" s="492"/>
      <c r="AF224" s="492"/>
      <c r="AG224" s="492"/>
      <c r="AH224" s="492">
        <f t="shared" ref="AH224:AP224" si="18">SUBTOTAL(9,AH17:AH221)</f>
        <v>0</v>
      </c>
      <c r="AI224" s="492"/>
      <c r="AJ224" s="492"/>
      <c r="AK224" s="492"/>
      <c r="AL224" s="492">
        <f t="shared" si="18"/>
        <v>0</v>
      </c>
      <c r="AM224" s="492"/>
      <c r="AN224" s="492"/>
      <c r="AO224" s="492"/>
      <c r="AP224" s="492">
        <f t="shared" si="18"/>
        <v>0</v>
      </c>
      <c r="AQ224" s="492"/>
      <c r="AR224" s="492"/>
      <c r="AS224" s="492"/>
      <c r="AT224" s="492">
        <f>SUBTOTAL(9,AT17:AT221)</f>
        <v>66904149</v>
      </c>
      <c r="AU224" s="492">
        <f>SUBTOTAL(9,AU17:AU221)</f>
        <v>50098503</v>
      </c>
      <c r="AV224" s="493"/>
    </row>
    <row r="225" spans="2:48" ht="20.25" customHeight="1" x14ac:dyDescent="0.2">
      <c r="B225" s="550"/>
      <c r="C225" s="550"/>
      <c r="D225" s="550"/>
      <c r="E225" s="550"/>
      <c r="F225" s="494"/>
      <c r="G225" s="495"/>
      <c r="H225" s="495"/>
      <c r="I225" s="493"/>
      <c r="J225" s="496"/>
      <c r="K225" s="493"/>
      <c r="L225" s="493"/>
      <c r="M225" s="497"/>
      <c r="N225" s="497"/>
      <c r="O225" s="493"/>
      <c r="P225" s="497"/>
      <c r="Q225" s="497"/>
      <c r="R225" s="493"/>
      <c r="S225" s="497"/>
      <c r="T225" s="493"/>
      <c r="U225" s="493"/>
      <c r="V225" s="493"/>
      <c r="W225" s="493"/>
      <c r="X225" s="493"/>
      <c r="Y225" s="493"/>
      <c r="Z225" s="493"/>
      <c r="AA225" s="498"/>
      <c r="AB225" s="493"/>
      <c r="AC225" s="493"/>
      <c r="AD225" s="493"/>
      <c r="AE225" s="497"/>
      <c r="AF225" s="493"/>
      <c r="AG225" s="493"/>
      <c r="AH225" s="493"/>
      <c r="AI225" s="498"/>
      <c r="AJ225" s="493"/>
      <c r="AK225" s="493"/>
      <c r="AL225" s="493"/>
      <c r="AM225" s="498"/>
      <c r="AN225" s="493"/>
      <c r="AO225" s="493"/>
      <c r="AP225" s="493"/>
      <c r="AQ225" s="498"/>
      <c r="AR225" s="493"/>
      <c r="AS225" s="493"/>
      <c r="AT225" s="493"/>
      <c r="AU225" s="493"/>
      <c r="AV225" s="493"/>
    </row>
    <row r="226" spans="2:48" x14ac:dyDescent="0.2">
      <c r="B226" s="499"/>
      <c r="C226" s="499"/>
      <c r="D226" s="499"/>
      <c r="E226" s="499"/>
      <c r="F226" s="499"/>
      <c r="G226" s="499"/>
      <c r="H226" s="499"/>
      <c r="I226" s="499"/>
      <c r="J226" s="499"/>
      <c r="K226" s="499"/>
      <c r="L226" s="499"/>
      <c r="M226" s="499"/>
      <c r="N226" s="499"/>
      <c r="O226" s="499"/>
      <c r="P226" s="499"/>
      <c r="Q226" s="499"/>
      <c r="R226" s="499"/>
      <c r="S226" s="499"/>
      <c r="T226" s="499"/>
      <c r="U226" s="499"/>
      <c r="V226" s="499"/>
      <c r="W226" s="499"/>
      <c r="X226" s="499"/>
      <c r="Y226" s="499"/>
      <c r="Z226" s="499"/>
      <c r="AA226" s="499"/>
      <c r="AB226" s="499"/>
      <c r="AC226" s="499"/>
      <c r="AD226" s="500"/>
      <c r="AE226" s="501"/>
      <c r="AF226" s="500"/>
      <c r="AG226" s="500"/>
      <c r="AH226" s="500"/>
      <c r="AI226" s="502"/>
      <c r="AJ226" s="500"/>
      <c r="AK226" s="500"/>
      <c r="AL226" s="500"/>
      <c r="AM226" s="502"/>
      <c r="AN226" s="500"/>
      <c r="AO226" s="500"/>
      <c r="AP226" s="500"/>
      <c r="AQ226" s="502"/>
      <c r="AR226" s="500"/>
      <c r="AS226" s="500"/>
      <c r="AT226" s="493"/>
      <c r="AU226" s="493"/>
      <c r="AV226" s="493"/>
    </row>
    <row r="227" spans="2:48" x14ac:dyDescent="0.2">
      <c r="B227" s="495"/>
      <c r="C227" s="493"/>
      <c r="D227" s="495"/>
      <c r="E227" s="493"/>
      <c r="F227" s="493"/>
      <c r="G227" s="493"/>
      <c r="H227" s="493"/>
      <c r="I227" s="493"/>
      <c r="J227" s="496"/>
      <c r="K227" s="496"/>
      <c r="L227" s="496"/>
      <c r="M227" s="493"/>
      <c r="N227" s="493"/>
      <c r="O227" s="493"/>
      <c r="P227" s="493"/>
      <c r="Q227" s="493"/>
      <c r="R227" s="493"/>
      <c r="S227" s="493"/>
      <c r="T227" s="493"/>
      <c r="U227" s="493"/>
      <c r="V227" s="493"/>
      <c r="W227" s="493"/>
      <c r="X227" s="493"/>
      <c r="Y227" s="493"/>
      <c r="Z227" s="493"/>
      <c r="AA227" s="498"/>
      <c r="AB227" s="503"/>
      <c r="AC227" s="493"/>
      <c r="AD227" s="493"/>
      <c r="AE227" s="497"/>
      <c r="AF227" s="493"/>
      <c r="AG227" s="493"/>
      <c r="AH227" s="493"/>
      <c r="AI227" s="498"/>
      <c r="AJ227" s="493"/>
      <c r="AK227" s="493"/>
      <c r="AL227" s="493"/>
      <c r="AM227" s="498"/>
      <c r="AN227" s="493"/>
      <c r="AO227" s="493"/>
      <c r="AP227" s="493"/>
      <c r="AQ227" s="498"/>
      <c r="AR227" s="493"/>
      <c r="AS227" s="493"/>
      <c r="AT227" s="493"/>
      <c r="AU227" s="493"/>
      <c r="AV227" s="493"/>
    </row>
    <row r="228" spans="2:48" x14ac:dyDescent="0.2">
      <c r="B228" s="495"/>
      <c r="C228" s="493"/>
      <c r="D228" s="495"/>
      <c r="E228" s="493"/>
      <c r="F228" s="493"/>
      <c r="G228" s="493"/>
      <c r="H228" s="493"/>
      <c r="I228" s="493"/>
      <c r="J228" s="496"/>
      <c r="K228" s="496"/>
      <c r="L228" s="496"/>
      <c r="M228" s="493"/>
      <c r="N228" s="493"/>
      <c r="O228" s="493"/>
      <c r="P228" s="493"/>
      <c r="Q228" s="493"/>
      <c r="R228" s="493"/>
      <c r="S228" s="493"/>
      <c r="T228" s="493"/>
      <c r="U228" s="493"/>
      <c r="V228" s="493"/>
      <c r="W228" s="493"/>
      <c r="X228" s="493"/>
      <c r="Y228" s="493"/>
      <c r="Z228" s="493"/>
      <c r="AA228" s="498"/>
      <c r="AB228" s="503"/>
      <c r="AC228" s="493"/>
      <c r="AD228" s="493"/>
      <c r="AE228" s="497"/>
      <c r="AF228" s="493"/>
      <c r="AG228" s="493"/>
      <c r="AH228" s="493"/>
      <c r="AI228" s="498"/>
      <c r="AJ228" s="493"/>
      <c r="AK228" s="493"/>
      <c r="AL228" s="493"/>
      <c r="AM228" s="498"/>
      <c r="AN228" s="493"/>
      <c r="AO228" s="493"/>
      <c r="AP228" s="493"/>
      <c r="AQ228" s="498"/>
      <c r="AR228" s="493"/>
      <c r="AS228" s="493"/>
      <c r="AT228" s="493"/>
      <c r="AU228" s="493"/>
      <c r="AV228" s="493"/>
    </row>
    <row r="229" spans="2:48" x14ac:dyDescent="0.2">
      <c r="B229" s="495"/>
      <c r="C229" s="493"/>
      <c r="D229" s="495"/>
      <c r="E229" s="493"/>
      <c r="F229" s="493"/>
      <c r="G229" s="493"/>
      <c r="H229" s="493"/>
      <c r="I229" s="493"/>
      <c r="J229" s="496"/>
      <c r="K229" s="496"/>
      <c r="L229" s="496"/>
      <c r="M229" s="493"/>
      <c r="N229" s="493"/>
      <c r="O229" s="493"/>
      <c r="P229" s="493"/>
      <c r="Q229" s="493"/>
      <c r="R229" s="493"/>
      <c r="S229" s="493"/>
      <c r="T229" s="493"/>
      <c r="U229" s="493"/>
      <c r="V229" s="493"/>
      <c r="W229" s="493"/>
      <c r="X229" s="493"/>
      <c r="Y229" s="504"/>
      <c r="Z229" s="504"/>
      <c r="AA229" s="505"/>
      <c r="AB229" s="506"/>
      <c r="AC229" s="504"/>
      <c r="AD229" s="504"/>
      <c r="AE229" s="497"/>
      <c r="AF229" s="493"/>
      <c r="AG229" s="493"/>
      <c r="AH229" s="493"/>
      <c r="AI229" s="498"/>
      <c r="AJ229" s="493"/>
      <c r="AK229" s="493"/>
      <c r="AL229" s="493"/>
      <c r="AM229" s="498"/>
      <c r="AN229" s="493"/>
      <c r="AO229" s="493"/>
      <c r="AP229" s="493"/>
      <c r="AQ229" s="498"/>
      <c r="AR229" s="493"/>
      <c r="AS229" s="493"/>
      <c r="AT229" s="493"/>
      <c r="AU229" s="493"/>
      <c r="AV229" s="493"/>
    </row>
    <row r="230" spans="2:48" x14ac:dyDescent="0.2">
      <c r="B230" s="495"/>
      <c r="C230" s="493"/>
      <c r="D230" s="495"/>
      <c r="E230" s="493"/>
      <c r="F230" s="493"/>
      <c r="G230" s="493"/>
      <c r="H230" s="493"/>
      <c r="I230" s="493"/>
      <c r="J230" s="496"/>
      <c r="K230" s="496"/>
      <c r="L230" s="496"/>
      <c r="M230" s="493"/>
      <c r="N230" s="493"/>
      <c r="O230" s="493"/>
      <c r="P230" s="493"/>
      <c r="Q230" s="493"/>
      <c r="R230" s="493"/>
      <c r="S230" s="493"/>
      <c r="T230" s="493"/>
      <c r="U230" s="493"/>
      <c r="V230" s="493"/>
      <c r="W230" s="493"/>
      <c r="X230" s="493"/>
      <c r="Y230" s="507"/>
      <c r="Z230" s="504"/>
      <c r="AA230" s="504"/>
      <c r="AB230" s="506"/>
      <c r="AC230" s="504"/>
      <c r="AD230" s="504"/>
      <c r="AE230" s="497"/>
      <c r="AF230" s="493"/>
      <c r="AG230" s="493"/>
      <c r="AH230" s="493"/>
      <c r="AI230" s="498"/>
      <c r="AJ230" s="493"/>
      <c r="AK230" s="493"/>
      <c r="AL230" s="493"/>
      <c r="AM230" s="498"/>
      <c r="AN230" s="493"/>
      <c r="AO230" s="493"/>
      <c r="AP230" s="493"/>
      <c r="AQ230" s="498"/>
      <c r="AR230" s="493"/>
      <c r="AS230" s="493"/>
      <c r="AT230" s="493"/>
      <c r="AU230" s="493"/>
      <c r="AV230" s="493"/>
    </row>
    <row r="231" spans="2:48" x14ac:dyDescent="0.2">
      <c r="B231" s="495"/>
      <c r="C231" s="493"/>
      <c r="D231" s="495"/>
      <c r="E231" s="493"/>
      <c r="F231" s="493"/>
      <c r="G231" s="493"/>
      <c r="H231" s="493"/>
      <c r="I231" s="493"/>
      <c r="J231" s="496"/>
      <c r="K231" s="496"/>
      <c r="L231" s="496"/>
      <c r="M231" s="493"/>
      <c r="N231" s="493"/>
      <c r="O231" s="493"/>
      <c r="P231" s="493"/>
      <c r="Q231" s="493"/>
      <c r="R231" s="493"/>
      <c r="S231" s="493"/>
      <c r="T231" s="493"/>
      <c r="U231" s="493"/>
      <c r="V231" s="493"/>
      <c r="W231" s="493"/>
      <c r="X231" s="493"/>
      <c r="Y231" s="504"/>
      <c r="Z231" s="504"/>
      <c r="AA231" s="508"/>
      <c r="AB231" s="508"/>
      <c r="AC231" s="509"/>
      <c r="AD231" s="504"/>
      <c r="AE231" s="497"/>
      <c r="AF231" s="493"/>
      <c r="AG231" s="493"/>
      <c r="AH231" s="493"/>
      <c r="AI231" s="498"/>
      <c r="AJ231" s="493"/>
      <c r="AK231" s="493"/>
      <c r="AL231" s="493"/>
      <c r="AM231" s="498"/>
      <c r="AN231" s="493"/>
      <c r="AO231" s="493"/>
      <c r="AP231" s="493"/>
      <c r="AQ231" s="498"/>
      <c r="AR231" s="493"/>
      <c r="AS231" s="493"/>
      <c r="AT231" s="493"/>
      <c r="AU231" s="493"/>
      <c r="AV231" s="493"/>
    </row>
    <row r="232" spans="2:48" x14ac:dyDescent="0.2">
      <c r="B232" s="495"/>
      <c r="C232" s="493"/>
      <c r="D232" s="495"/>
      <c r="E232" s="493"/>
      <c r="F232" s="493"/>
      <c r="G232" s="493"/>
      <c r="H232" s="493"/>
      <c r="I232" s="493"/>
      <c r="J232" s="496"/>
      <c r="K232" s="496"/>
      <c r="L232" s="496"/>
      <c r="M232" s="493"/>
      <c r="N232" s="493"/>
      <c r="O232" s="493"/>
      <c r="P232" s="493"/>
      <c r="Q232" s="493"/>
      <c r="R232" s="493"/>
      <c r="S232" s="493"/>
      <c r="T232" s="493"/>
      <c r="U232" s="493"/>
      <c r="V232" s="493"/>
      <c r="W232" s="493"/>
      <c r="X232" s="493"/>
      <c r="Y232" s="504"/>
      <c r="Z232" s="504"/>
      <c r="AA232" s="508"/>
      <c r="AB232" s="508"/>
      <c r="AC232" s="509"/>
      <c r="AD232" s="504"/>
      <c r="AE232" s="497"/>
      <c r="AF232" s="493"/>
      <c r="AG232" s="493"/>
      <c r="AH232" s="493"/>
      <c r="AI232" s="498"/>
      <c r="AJ232" s="493"/>
      <c r="AK232" s="493"/>
      <c r="AL232" s="493"/>
      <c r="AM232" s="498"/>
      <c r="AN232" s="493"/>
      <c r="AO232" s="493"/>
      <c r="AP232" s="493"/>
      <c r="AQ232" s="498"/>
      <c r="AR232" s="493"/>
      <c r="AS232" s="493"/>
      <c r="AT232" s="493"/>
      <c r="AU232" s="493"/>
      <c r="AV232" s="493"/>
    </row>
    <row r="233" spans="2:48" x14ac:dyDescent="0.2">
      <c r="B233" s="495"/>
      <c r="C233" s="493"/>
      <c r="D233" s="495"/>
      <c r="E233" s="493"/>
      <c r="F233" s="493"/>
      <c r="G233" s="493"/>
      <c r="H233" s="493"/>
      <c r="I233" s="493"/>
      <c r="J233" s="496"/>
      <c r="K233" s="496"/>
      <c r="L233" s="496"/>
      <c r="M233" s="493"/>
      <c r="N233" s="493"/>
      <c r="O233" s="493"/>
      <c r="P233" s="493"/>
      <c r="Q233" s="493"/>
      <c r="R233" s="493"/>
      <c r="S233" s="493"/>
      <c r="T233" s="493"/>
      <c r="U233" s="493"/>
      <c r="V233" s="493"/>
      <c r="W233" s="493"/>
      <c r="X233" s="493"/>
      <c r="Y233" s="507"/>
      <c r="Z233" s="504"/>
      <c r="AA233" s="507"/>
      <c r="AB233" s="507"/>
      <c r="AC233" s="509"/>
      <c r="AD233" s="504"/>
      <c r="AE233" s="497"/>
      <c r="AF233" s="493"/>
      <c r="AG233" s="493"/>
      <c r="AH233" s="493"/>
      <c r="AI233" s="498"/>
      <c r="AJ233" s="493"/>
      <c r="AK233" s="493"/>
      <c r="AL233" s="493"/>
      <c r="AM233" s="498"/>
      <c r="AN233" s="493"/>
      <c r="AO233" s="493"/>
      <c r="AP233" s="493"/>
      <c r="AQ233" s="498"/>
      <c r="AR233" s="493"/>
      <c r="AS233" s="493"/>
      <c r="AT233" s="493"/>
      <c r="AU233" s="493"/>
      <c r="AV233" s="493"/>
    </row>
    <row r="234" spans="2:48" x14ac:dyDescent="0.2">
      <c r="B234" s="495"/>
      <c r="C234" s="493"/>
      <c r="D234" s="495"/>
      <c r="E234" s="493"/>
      <c r="F234" s="493"/>
      <c r="G234" s="493"/>
      <c r="H234" s="493"/>
      <c r="I234" s="493"/>
      <c r="J234" s="496"/>
      <c r="K234" s="496"/>
      <c r="L234" s="496"/>
      <c r="M234" s="493"/>
      <c r="N234" s="493"/>
      <c r="O234" s="493"/>
      <c r="P234" s="493"/>
      <c r="Q234" s="493"/>
      <c r="R234" s="493"/>
      <c r="S234" s="493"/>
      <c r="T234" s="493"/>
      <c r="U234" s="493"/>
      <c r="V234" s="493"/>
      <c r="W234" s="493"/>
      <c r="X234" s="493"/>
      <c r="Y234" s="504"/>
      <c r="Z234" s="504"/>
      <c r="AA234" s="507"/>
      <c r="AB234" s="507"/>
      <c r="AC234" s="509"/>
      <c r="AD234" s="504"/>
      <c r="AE234" s="497"/>
      <c r="AF234" s="493"/>
      <c r="AG234" s="493"/>
      <c r="AH234" s="493"/>
      <c r="AI234" s="498"/>
      <c r="AJ234" s="493"/>
      <c r="AK234" s="493"/>
      <c r="AL234" s="493"/>
      <c r="AM234" s="498"/>
      <c r="AN234" s="493"/>
      <c r="AO234" s="493"/>
      <c r="AP234" s="493"/>
      <c r="AQ234" s="498"/>
      <c r="AR234" s="493"/>
      <c r="AS234" s="493"/>
      <c r="AT234" s="493"/>
      <c r="AU234" s="493"/>
      <c r="AV234" s="493"/>
    </row>
    <row r="235" spans="2:48" x14ac:dyDescent="0.2">
      <c r="B235" s="495"/>
      <c r="C235" s="493"/>
      <c r="D235" s="495"/>
      <c r="E235" s="493"/>
      <c r="F235" s="493"/>
      <c r="G235" s="493"/>
      <c r="H235" s="493"/>
      <c r="I235" s="493"/>
      <c r="J235" s="496"/>
      <c r="K235" s="496"/>
      <c r="L235" s="496"/>
      <c r="M235" s="493"/>
      <c r="N235" s="493"/>
      <c r="O235" s="493"/>
      <c r="P235" s="493"/>
      <c r="Q235" s="493"/>
      <c r="R235" s="493"/>
      <c r="S235" s="493"/>
      <c r="T235" s="493"/>
      <c r="U235" s="493"/>
      <c r="V235" s="493"/>
      <c r="W235" s="493"/>
      <c r="X235" s="493"/>
      <c r="Y235" s="504"/>
      <c r="Z235" s="504"/>
      <c r="AA235" s="507"/>
      <c r="AB235" s="507"/>
      <c r="AC235" s="509"/>
      <c r="AD235" s="504"/>
      <c r="AE235" s="497"/>
      <c r="AF235" s="493"/>
      <c r="AG235" s="493"/>
      <c r="AH235" s="493"/>
      <c r="AI235" s="498"/>
      <c r="AJ235" s="493"/>
      <c r="AK235" s="493"/>
      <c r="AL235" s="493"/>
      <c r="AM235" s="498"/>
      <c r="AN235" s="493"/>
      <c r="AO235" s="493"/>
      <c r="AP235" s="493"/>
      <c r="AQ235" s="498"/>
      <c r="AR235" s="493"/>
      <c r="AS235" s="493"/>
      <c r="AT235" s="493"/>
      <c r="AU235" s="493"/>
      <c r="AV235" s="493"/>
    </row>
    <row r="236" spans="2:48" x14ac:dyDescent="0.2">
      <c r="B236" s="495"/>
      <c r="C236" s="493"/>
      <c r="D236" s="495"/>
      <c r="E236" s="493"/>
      <c r="F236" s="493"/>
      <c r="G236" s="493"/>
      <c r="H236" s="493"/>
      <c r="I236" s="493"/>
      <c r="J236" s="496"/>
      <c r="K236" s="496"/>
      <c r="L236" s="496"/>
      <c r="M236" s="493"/>
      <c r="N236" s="493"/>
      <c r="O236" s="493"/>
      <c r="P236" s="493"/>
      <c r="Q236" s="493"/>
      <c r="R236" s="493"/>
      <c r="S236" s="493"/>
      <c r="T236" s="493"/>
      <c r="U236" s="493"/>
      <c r="V236" s="493"/>
      <c r="W236" s="493"/>
      <c r="X236" s="493"/>
      <c r="Y236" s="504"/>
      <c r="Z236" s="504"/>
      <c r="AA236" s="507"/>
      <c r="AB236" s="507"/>
      <c r="AC236" s="509"/>
      <c r="AD236" s="504"/>
      <c r="AE236" s="497"/>
      <c r="AF236" s="493"/>
      <c r="AG236" s="493"/>
      <c r="AH236" s="493"/>
      <c r="AI236" s="498"/>
      <c r="AJ236" s="493"/>
      <c r="AK236" s="493"/>
      <c r="AL236" s="493"/>
      <c r="AM236" s="498"/>
      <c r="AN236" s="493"/>
      <c r="AO236" s="493"/>
      <c r="AP236" s="493"/>
      <c r="AQ236" s="498"/>
      <c r="AR236" s="493"/>
      <c r="AS236" s="493"/>
      <c r="AT236" s="493"/>
      <c r="AU236" s="493"/>
      <c r="AV236" s="493"/>
    </row>
    <row r="237" spans="2:48" x14ac:dyDescent="0.2">
      <c r="B237" s="495"/>
      <c r="C237" s="493"/>
      <c r="D237" s="495"/>
      <c r="E237" s="493"/>
      <c r="F237" s="493"/>
      <c r="G237" s="493"/>
      <c r="H237" s="493"/>
      <c r="I237" s="493"/>
      <c r="J237" s="496"/>
      <c r="K237" s="496"/>
      <c r="L237" s="496"/>
      <c r="M237" s="493"/>
      <c r="N237" s="493"/>
      <c r="O237" s="493"/>
      <c r="P237" s="493"/>
      <c r="Q237" s="493"/>
      <c r="R237" s="493"/>
      <c r="S237" s="493"/>
      <c r="T237" s="493"/>
      <c r="U237" s="493"/>
      <c r="V237" s="493"/>
      <c r="W237" s="493"/>
      <c r="X237" s="493"/>
      <c r="Y237" s="504"/>
      <c r="Z237" s="504"/>
      <c r="AA237" s="507"/>
      <c r="AB237" s="507"/>
      <c r="AC237" s="504"/>
      <c r="AD237" s="504"/>
      <c r="AE237" s="497"/>
      <c r="AF237" s="493"/>
      <c r="AG237" s="493"/>
      <c r="AH237" s="493"/>
      <c r="AI237" s="498"/>
      <c r="AJ237" s="493"/>
      <c r="AK237" s="493"/>
      <c r="AL237" s="493"/>
      <c r="AM237" s="498"/>
      <c r="AN237" s="493"/>
      <c r="AO237" s="493"/>
      <c r="AP237" s="493"/>
      <c r="AQ237" s="498"/>
      <c r="AR237" s="493"/>
      <c r="AS237" s="493"/>
      <c r="AT237" s="493"/>
      <c r="AU237" s="493"/>
      <c r="AV237" s="493"/>
    </row>
    <row r="238" spans="2:48" x14ac:dyDescent="0.2">
      <c r="B238" s="495"/>
      <c r="C238" s="493"/>
      <c r="D238" s="495"/>
      <c r="E238" s="493"/>
      <c r="F238" s="493"/>
      <c r="G238" s="493"/>
      <c r="H238" s="493"/>
      <c r="I238" s="493"/>
      <c r="J238" s="496"/>
      <c r="K238" s="496"/>
      <c r="L238" s="496"/>
      <c r="M238" s="493"/>
      <c r="N238" s="493"/>
      <c r="O238" s="493"/>
      <c r="P238" s="493"/>
      <c r="Q238" s="493"/>
      <c r="R238" s="493"/>
      <c r="S238" s="493"/>
      <c r="T238" s="493"/>
      <c r="U238" s="493"/>
      <c r="V238" s="493"/>
      <c r="W238" s="493"/>
      <c r="X238" s="493"/>
      <c r="Y238" s="504"/>
      <c r="Z238" s="504"/>
      <c r="AA238" s="505"/>
      <c r="AB238" s="507"/>
      <c r="AC238" s="504"/>
      <c r="AD238" s="504"/>
      <c r="AE238" s="497"/>
      <c r="AF238" s="493"/>
      <c r="AG238" s="493"/>
      <c r="AH238" s="493"/>
      <c r="AI238" s="498"/>
      <c r="AJ238" s="493"/>
      <c r="AK238" s="493"/>
      <c r="AL238" s="493"/>
      <c r="AM238" s="498"/>
      <c r="AN238" s="493"/>
      <c r="AO238" s="493"/>
      <c r="AP238" s="493"/>
      <c r="AQ238" s="498"/>
      <c r="AR238" s="493"/>
      <c r="AS238" s="493"/>
      <c r="AT238" s="493"/>
      <c r="AU238" s="493"/>
      <c r="AV238" s="493"/>
    </row>
    <row r="239" spans="2:48" x14ac:dyDescent="0.2">
      <c r="B239" s="495"/>
      <c r="C239" s="493"/>
      <c r="D239" s="495"/>
      <c r="E239" s="493"/>
      <c r="F239" s="493"/>
      <c r="G239" s="493"/>
      <c r="H239" s="493"/>
      <c r="I239" s="493"/>
      <c r="J239" s="496"/>
      <c r="K239" s="496"/>
      <c r="L239" s="496"/>
      <c r="M239" s="493"/>
      <c r="N239" s="493"/>
      <c r="O239" s="493"/>
      <c r="P239" s="493"/>
      <c r="Q239" s="493"/>
      <c r="R239" s="493"/>
      <c r="S239" s="493"/>
      <c r="T239" s="493"/>
      <c r="U239" s="493"/>
      <c r="V239" s="493"/>
      <c r="W239" s="493"/>
      <c r="X239" s="493"/>
      <c r="Y239" s="504"/>
      <c r="Z239" s="504"/>
      <c r="AA239" s="507"/>
      <c r="AB239" s="507"/>
      <c r="AC239" s="504"/>
      <c r="AD239" s="504"/>
      <c r="AE239" s="497"/>
      <c r="AF239" s="493"/>
      <c r="AG239" s="493"/>
      <c r="AH239" s="493"/>
      <c r="AI239" s="498"/>
      <c r="AJ239" s="493"/>
      <c r="AK239" s="493"/>
      <c r="AL239" s="493"/>
      <c r="AM239" s="498"/>
      <c r="AN239" s="493"/>
      <c r="AO239" s="493"/>
      <c r="AP239" s="493"/>
      <c r="AQ239" s="498"/>
      <c r="AR239" s="493"/>
      <c r="AS239" s="493"/>
      <c r="AT239" s="493"/>
      <c r="AU239" s="493"/>
      <c r="AV239" s="493"/>
    </row>
    <row r="240" spans="2:48" x14ac:dyDescent="0.2">
      <c r="Y240" s="510"/>
      <c r="Z240" s="510"/>
      <c r="AA240" s="511"/>
      <c r="AB240" s="512"/>
      <c r="AC240" s="510"/>
      <c r="AD240" s="510"/>
    </row>
    <row r="241" spans="25:30" x14ac:dyDescent="0.2">
      <c r="Y241" s="510"/>
      <c r="Z241" s="510"/>
      <c r="AA241" s="507"/>
      <c r="AB241" s="512"/>
      <c r="AC241" s="510"/>
      <c r="AD241" s="510"/>
    </row>
    <row r="242" spans="25:30" x14ac:dyDescent="0.2">
      <c r="Y242" s="510"/>
      <c r="Z242" s="510"/>
      <c r="AA242" s="511"/>
      <c r="AB242" s="512"/>
      <c r="AC242" s="510"/>
      <c r="AD242" s="510"/>
    </row>
    <row r="243" spans="25:30" x14ac:dyDescent="0.2">
      <c r="Y243" s="510"/>
      <c r="Z243" s="510"/>
      <c r="AA243" s="511"/>
      <c r="AB243" s="512"/>
      <c r="AC243" s="510"/>
      <c r="AD243" s="510"/>
    </row>
    <row r="244" spans="25:30" x14ac:dyDescent="0.2">
      <c r="Y244" s="510"/>
      <c r="Z244" s="510"/>
      <c r="AA244" s="511"/>
      <c r="AB244" s="513"/>
      <c r="AC244" s="510"/>
      <c r="AD244" s="510"/>
    </row>
    <row r="245" spans="25:30" x14ac:dyDescent="0.2">
      <c r="Y245" s="510"/>
      <c r="Z245" s="510"/>
      <c r="AA245" s="511"/>
      <c r="AB245" s="513"/>
      <c r="AC245" s="510"/>
      <c r="AD245" s="510"/>
    </row>
    <row r="246" spans="25:30" x14ac:dyDescent="0.2">
      <c r="Y246" s="510"/>
      <c r="Z246" s="510"/>
      <c r="AA246" s="511"/>
      <c r="AB246" s="513"/>
      <c r="AC246" s="510"/>
      <c r="AD246" s="510"/>
    </row>
    <row r="247" spans="25:30" x14ac:dyDescent="0.2">
      <c r="Y247" s="510"/>
      <c r="Z247" s="510"/>
      <c r="AA247" s="511"/>
      <c r="AB247" s="513"/>
      <c r="AC247" s="510"/>
      <c r="AD247" s="510"/>
    </row>
    <row r="248" spans="25:30" x14ac:dyDescent="0.2">
      <c r="Y248" s="510"/>
      <c r="Z248" s="510"/>
      <c r="AA248" s="511"/>
      <c r="AB248" s="513"/>
      <c r="AC248" s="510"/>
      <c r="AD248" s="510"/>
    </row>
    <row r="249" spans="25:30" x14ac:dyDescent="0.2">
      <c r="Y249" s="510"/>
      <c r="Z249" s="510"/>
      <c r="AA249" s="511"/>
      <c r="AB249" s="513"/>
      <c r="AC249" s="510"/>
      <c r="AD249" s="510"/>
    </row>
    <row r="250" spans="25:30" x14ac:dyDescent="0.2">
      <c r="Y250" s="510"/>
      <c r="Z250" s="510"/>
      <c r="AA250" s="511"/>
      <c r="AB250" s="513"/>
      <c r="AC250" s="510"/>
      <c r="AD250" s="510"/>
    </row>
  </sheetData>
  <autoFilter ref="Z16:AC221"/>
  <mergeCells count="15">
    <mergeCell ref="AT14:AU14"/>
    <mergeCell ref="B224:I224"/>
    <mergeCell ref="B225:E225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223">
    <cfRule type="duplicateValues" dxfId="40" priority="1"/>
  </conditionalFormatting>
  <conditionalFormatting sqref="D17:D222">
    <cfRule type="duplicateValues" dxfId="39" priority="2"/>
  </conditionalFormatting>
  <pageMargins left="0.7" right="0.7" top="0.75" bottom="0.75" header="0.3" footer="0.3"/>
  <pageSetup scale="3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B1:AU212"/>
  <sheetViews>
    <sheetView showGridLines="0" zoomScaleNormal="100" workbookViewId="0">
      <pane ySplit="11" topLeftCell="A159" activePane="bottomLeft" state="frozen"/>
      <selection activeCell="R1" sqref="R1"/>
      <selection pane="bottomLeft" activeCell="R194" sqref="R194"/>
    </sheetView>
  </sheetViews>
  <sheetFormatPr baseColWidth="10" defaultRowHeight="13.5" customHeight="1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9" width="9.7109375" style="4" customWidth="1"/>
    <col min="10" max="10" width="12.85546875" style="4" bestFit="1" customWidth="1"/>
    <col min="11" max="16" width="12" style="4" customWidth="1"/>
    <col min="17" max="17" width="15.28515625" style="4" customWidth="1"/>
    <col min="18" max="18" width="13.5703125" style="4" bestFit="1" customWidth="1"/>
    <col min="19" max="19" width="10.140625" style="9" customWidth="1"/>
    <col min="20" max="26" width="10.140625" style="4" customWidth="1"/>
    <col min="27" max="27" width="10.140625" style="8" customWidth="1"/>
    <col min="28" max="29" width="10.140625" style="4" customWidth="1"/>
    <col min="30" max="16384" width="11.42578125" style="4"/>
  </cols>
  <sheetData>
    <row r="1" spans="2:31" ht="13.5" customHeight="1" x14ac:dyDescent="0.2">
      <c r="B1" s="515"/>
      <c r="C1" s="515"/>
      <c r="D1" s="515"/>
      <c r="E1" s="515"/>
      <c r="F1" s="515"/>
      <c r="G1" s="515"/>
      <c r="H1" s="515"/>
      <c r="I1" s="515"/>
      <c r="J1" s="515"/>
      <c r="K1" s="515"/>
      <c r="L1" s="515"/>
      <c r="M1" s="515"/>
      <c r="N1" s="515"/>
      <c r="O1" s="515"/>
      <c r="P1" s="515"/>
      <c r="Q1" s="515"/>
      <c r="R1" s="515"/>
      <c r="S1" s="515"/>
      <c r="T1" s="515"/>
      <c r="U1" s="515"/>
      <c r="V1" s="163"/>
      <c r="W1" s="163"/>
      <c r="X1" s="163"/>
      <c r="Y1" s="163"/>
      <c r="Z1" s="163"/>
      <c r="AA1" s="6"/>
      <c r="AB1" s="163"/>
      <c r="AC1" s="163"/>
    </row>
    <row r="2" spans="2:31" ht="13.5" customHeight="1" x14ac:dyDescent="0.2"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515"/>
      <c r="R2" s="515"/>
      <c r="S2" s="515"/>
      <c r="T2" s="515"/>
      <c r="U2" s="515"/>
      <c r="V2" s="163"/>
      <c r="W2" s="163"/>
      <c r="X2" s="163"/>
      <c r="Y2" s="163"/>
      <c r="Z2" s="163"/>
      <c r="AA2" s="6"/>
      <c r="AB2" s="163"/>
      <c r="AC2" s="163"/>
    </row>
    <row r="3" spans="2:31" ht="13.5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163"/>
      <c r="W3" s="163"/>
      <c r="X3" s="163"/>
      <c r="Y3" s="163"/>
      <c r="Z3" s="163"/>
      <c r="AA3" s="6"/>
      <c r="AB3" s="163"/>
      <c r="AC3" s="163"/>
    </row>
    <row r="4" spans="2:31" ht="13.5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163"/>
      <c r="W4" s="163"/>
      <c r="X4" s="163"/>
      <c r="Y4" s="163"/>
      <c r="Z4" s="163"/>
      <c r="AA4" s="6"/>
      <c r="AB4" s="163"/>
      <c r="AC4" s="163"/>
    </row>
    <row r="5" spans="2:31" ht="13.5" customHeight="1" x14ac:dyDescent="0.2">
      <c r="B5" s="520" t="s">
        <v>0</v>
      </c>
      <c r="C5" s="520"/>
      <c r="D5" s="520"/>
      <c r="E5" s="520"/>
      <c r="F5" s="520"/>
      <c r="G5" s="520"/>
      <c r="H5" s="520"/>
      <c r="I5" s="520"/>
      <c r="J5" s="520"/>
      <c r="K5" s="520"/>
      <c r="L5" s="520"/>
      <c r="M5" s="520"/>
      <c r="N5" s="520"/>
      <c r="O5" s="520"/>
      <c r="P5" s="520"/>
      <c r="Q5" s="520"/>
      <c r="R5" s="520"/>
      <c r="S5" s="520"/>
      <c r="T5" s="520"/>
      <c r="U5" s="520"/>
      <c r="V5" s="165"/>
      <c r="W5" s="165"/>
      <c r="X5" s="165"/>
      <c r="Y5" s="165"/>
      <c r="Z5" s="163"/>
      <c r="AA5" s="6"/>
      <c r="AB5" s="163"/>
      <c r="AC5" s="163"/>
    </row>
    <row r="6" spans="2:31" ht="13.5" customHeight="1" x14ac:dyDescent="0.2">
      <c r="B6" s="520"/>
      <c r="C6" s="520"/>
      <c r="D6" s="520"/>
      <c r="E6" s="520"/>
      <c r="F6" s="520"/>
      <c r="G6" s="520"/>
      <c r="H6" s="520"/>
      <c r="I6" s="520"/>
      <c r="J6" s="520"/>
      <c r="K6" s="520"/>
      <c r="L6" s="520"/>
      <c r="M6" s="520"/>
      <c r="N6" s="520"/>
      <c r="O6" s="520"/>
      <c r="P6" s="520"/>
      <c r="Q6" s="520"/>
      <c r="R6" s="520"/>
      <c r="S6" s="520"/>
      <c r="T6" s="520"/>
      <c r="U6" s="520"/>
      <c r="V6" s="165"/>
      <c r="W6" s="165"/>
      <c r="X6" s="165"/>
      <c r="Y6" s="165"/>
    </row>
    <row r="7" spans="2:31" ht="13.5" customHeight="1" x14ac:dyDescent="0.2"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</row>
    <row r="8" spans="2:31" ht="33" customHeight="1" x14ac:dyDescent="0.2">
      <c r="B8" s="10" t="s">
        <v>1</v>
      </c>
      <c r="C8" s="10" t="s">
        <v>2</v>
      </c>
      <c r="D8" s="11" t="s">
        <v>3</v>
      </c>
      <c r="E8" s="12" t="s">
        <v>4</v>
      </c>
      <c r="F8" s="13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5"/>
      <c r="X8" s="165"/>
      <c r="Y8" s="165"/>
    </row>
    <row r="9" spans="2:31" ht="13.5" customHeight="1" x14ac:dyDescent="0.2">
      <c r="B9" s="15">
        <v>56652651</v>
      </c>
      <c r="C9" s="15">
        <v>56652651</v>
      </c>
      <c r="D9" s="15">
        <v>45738680</v>
      </c>
      <c r="E9" s="15">
        <f>+Q192</f>
        <v>12541335</v>
      </c>
      <c r="F9" s="84"/>
      <c r="G9" s="165"/>
      <c r="H9" s="165"/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  <c r="Y9" s="165"/>
    </row>
    <row r="10" spans="2:31" ht="13.5" customHeight="1" x14ac:dyDescent="0.2">
      <c r="C10" s="17"/>
      <c r="D10" s="18"/>
      <c r="E10" s="17"/>
      <c r="F10" s="17"/>
      <c r="R10" s="531" t="s">
        <v>5</v>
      </c>
      <c r="S10" s="532"/>
      <c r="T10" s="532"/>
      <c r="U10" s="533"/>
      <c r="V10" s="524" t="s">
        <v>6</v>
      </c>
      <c r="W10" s="525"/>
      <c r="X10" s="525"/>
      <c r="Y10" s="526"/>
      <c r="Z10" s="524" t="s">
        <v>6</v>
      </c>
      <c r="AA10" s="525"/>
      <c r="AB10" s="525"/>
      <c r="AC10" s="526"/>
      <c r="AD10" s="518" t="s">
        <v>7</v>
      </c>
      <c r="AE10" s="518"/>
    </row>
    <row r="11" spans="2:31" s="26" customFormat="1" ht="42" customHeight="1" x14ac:dyDescent="0.25">
      <c r="B11" s="19" t="s">
        <v>8</v>
      </c>
      <c r="C11" s="19" t="s">
        <v>9</v>
      </c>
      <c r="D11" s="19" t="s">
        <v>10</v>
      </c>
      <c r="E11" s="20" t="s">
        <v>11</v>
      </c>
      <c r="F11" s="10" t="s">
        <v>12</v>
      </c>
      <c r="G11" s="20" t="s">
        <v>13</v>
      </c>
      <c r="H11" s="20" t="s">
        <v>14</v>
      </c>
      <c r="I11" s="20" t="s">
        <v>15</v>
      </c>
      <c r="J11" s="20" t="s">
        <v>16</v>
      </c>
      <c r="K11" s="20" t="s">
        <v>17</v>
      </c>
      <c r="L11" s="20" t="s">
        <v>18</v>
      </c>
      <c r="M11" s="284" t="s">
        <v>19</v>
      </c>
      <c r="N11" s="284" t="s">
        <v>20</v>
      </c>
      <c r="O11" s="284" t="s">
        <v>21</v>
      </c>
      <c r="P11" s="284" t="s">
        <v>22</v>
      </c>
      <c r="Q11" s="285" t="s">
        <v>31</v>
      </c>
      <c r="R11" s="22" t="s">
        <v>32</v>
      </c>
      <c r="S11" s="23" t="s">
        <v>33</v>
      </c>
      <c r="T11" s="22" t="s">
        <v>34</v>
      </c>
      <c r="U11" s="22" t="s">
        <v>35</v>
      </c>
      <c r="V11" s="24" t="s">
        <v>36</v>
      </c>
      <c r="W11" s="25" t="s">
        <v>33</v>
      </c>
      <c r="X11" s="24" t="s">
        <v>34</v>
      </c>
      <c r="Y11" s="24" t="s">
        <v>35</v>
      </c>
      <c r="Z11" s="24" t="s">
        <v>36</v>
      </c>
      <c r="AA11" s="25" t="s">
        <v>33</v>
      </c>
      <c r="AB11" s="24" t="s">
        <v>34</v>
      </c>
      <c r="AC11" s="24" t="s">
        <v>35</v>
      </c>
      <c r="AD11" s="24" t="s">
        <v>37</v>
      </c>
      <c r="AE11" s="24" t="s">
        <v>38</v>
      </c>
    </row>
    <row r="12" spans="2:31" s="26" customFormat="1" ht="13.5" customHeight="1" x14ac:dyDescent="0.25">
      <c r="B12" s="276">
        <v>1</v>
      </c>
      <c r="C12" s="276" t="s">
        <v>39</v>
      </c>
      <c r="D12" s="28" t="s">
        <v>845</v>
      </c>
      <c r="E12" s="277" t="s">
        <v>846</v>
      </c>
      <c r="F12" s="30" t="s">
        <v>147</v>
      </c>
      <c r="G12" s="30" t="s">
        <v>847</v>
      </c>
      <c r="H12" s="30" t="s">
        <v>848</v>
      </c>
      <c r="I12" s="274" t="s">
        <v>57</v>
      </c>
      <c r="J12" s="214">
        <v>3292451</v>
      </c>
      <c r="K12" s="31">
        <v>1022650</v>
      </c>
      <c r="L12" s="31">
        <v>91611</v>
      </c>
      <c r="M12" s="160">
        <v>0</v>
      </c>
      <c r="N12" s="160">
        <v>215850</v>
      </c>
      <c r="O12" s="160">
        <f>4200+384150</f>
        <v>388350</v>
      </c>
      <c r="P12" s="31"/>
      <c r="Q12" s="31">
        <f t="shared" ref="Q12:Q43" si="0">SUM(M12:P12)</f>
        <v>604200</v>
      </c>
      <c r="R12" s="32">
        <v>604200</v>
      </c>
      <c r="S12" s="36">
        <v>1</v>
      </c>
      <c r="T12" s="54">
        <v>44200</v>
      </c>
      <c r="U12" s="89">
        <v>44223</v>
      </c>
      <c r="V12" s="89"/>
      <c r="W12" s="41"/>
      <c r="X12" s="89"/>
      <c r="Y12" s="89"/>
      <c r="Z12" s="32"/>
      <c r="AA12" s="35"/>
      <c r="AB12" s="34"/>
      <c r="AC12" s="89"/>
      <c r="AD12" s="270">
        <f>+R12+V12+Z12</f>
        <v>604200</v>
      </c>
      <c r="AE12" s="38">
        <f>+AD12-Q12</f>
        <v>0</v>
      </c>
    </row>
    <row r="13" spans="2:31" s="26" customFormat="1" ht="13.5" customHeight="1" x14ac:dyDescent="0.25">
      <c r="B13" s="278">
        <v>2</v>
      </c>
      <c r="C13" s="276" t="s">
        <v>39</v>
      </c>
      <c r="D13" s="28" t="s">
        <v>849</v>
      </c>
      <c r="E13" s="277" t="s">
        <v>850</v>
      </c>
      <c r="F13" s="30" t="s">
        <v>147</v>
      </c>
      <c r="G13" s="30" t="s">
        <v>847</v>
      </c>
      <c r="H13" s="30" t="s">
        <v>848</v>
      </c>
      <c r="I13" s="274" t="s">
        <v>57</v>
      </c>
      <c r="J13" s="214">
        <v>7070438</v>
      </c>
      <c r="K13" s="31">
        <v>6972438</v>
      </c>
      <c r="L13" s="31">
        <v>0</v>
      </c>
      <c r="M13" s="160">
        <v>0</v>
      </c>
      <c r="N13" s="160">
        <v>0</v>
      </c>
      <c r="O13" s="160">
        <v>0</v>
      </c>
      <c r="P13" s="31"/>
      <c r="Q13" s="31">
        <f t="shared" si="0"/>
        <v>0</v>
      </c>
      <c r="R13" s="32">
        <v>98000</v>
      </c>
      <c r="S13" s="36">
        <v>1</v>
      </c>
      <c r="T13" s="54">
        <v>44200</v>
      </c>
      <c r="U13" s="89">
        <v>44223</v>
      </c>
      <c r="V13" s="89"/>
      <c r="W13" s="41"/>
      <c r="X13" s="89"/>
      <c r="Y13" s="89"/>
      <c r="Z13" s="32"/>
      <c r="AA13" s="35"/>
      <c r="AB13" s="36"/>
      <c r="AC13" s="89"/>
      <c r="AD13" s="270">
        <f t="shared" ref="AD13:AD76" si="1">+R13+V13+Z13</f>
        <v>98000</v>
      </c>
      <c r="AE13" s="38">
        <f t="shared" ref="AE13:AE76" si="2">+AD13-Q13</f>
        <v>98000</v>
      </c>
    </row>
    <row r="14" spans="2:31" s="26" customFormat="1" ht="13.5" customHeight="1" x14ac:dyDescent="0.25">
      <c r="B14" s="276">
        <v>3</v>
      </c>
      <c r="C14" s="276" t="s">
        <v>39</v>
      </c>
      <c r="D14" s="28" t="s">
        <v>851</v>
      </c>
      <c r="E14" s="277" t="s">
        <v>852</v>
      </c>
      <c r="F14" s="30" t="s">
        <v>147</v>
      </c>
      <c r="G14" s="30" t="s">
        <v>847</v>
      </c>
      <c r="H14" s="30" t="s">
        <v>848</v>
      </c>
      <c r="I14" s="274" t="s">
        <v>57</v>
      </c>
      <c r="J14" s="271">
        <v>1062965</v>
      </c>
      <c r="K14" s="31">
        <v>237752</v>
      </c>
      <c r="L14" s="31">
        <v>0</v>
      </c>
      <c r="M14" s="160">
        <v>0</v>
      </c>
      <c r="N14" s="160">
        <v>0</v>
      </c>
      <c r="O14" s="160">
        <v>0</v>
      </c>
      <c r="P14" s="31"/>
      <c r="Q14" s="31">
        <f t="shared" si="0"/>
        <v>0</v>
      </c>
      <c r="R14" s="32">
        <v>560000</v>
      </c>
      <c r="S14" s="36">
        <v>1</v>
      </c>
      <c r="T14" s="54">
        <v>44200</v>
      </c>
      <c r="U14" s="89">
        <v>44223</v>
      </c>
      <c r="V14" s="89"/>
      <c r="W14" s="41"/>
      <c r="X14" s="89"/>
      <c r="Y14" s="89"/>
      <c r="Z14" s="217"/>
      <c r="AA14" s="40"/>
      <c r="AB14" s="34"/>
      <c r="AC14" s="90"/>
      <c r="AD14" s="270">
        <f t="shared" si="1"/>
        <v>560000</v>
      </c>
      <c r="AE14" s="38">
        <f t="shared" si="2"/>
        <v>560000</v>
      </c>
    </row>
    <row r="15" spans="2:31" s="26" customFormat="1" ht="13.5" customHeight="1" x14ac:dyDescent="0.25">
      <c r="B15" s="278">
        <v>4</v>
      </c>
      <c r="C15" s="276" t="s">
        <v>39</v>
      </c>
      <c r="D15" s="28" t="s">
        <v>853</v>
      </c>
      <c r="E15" s="277" t="s">
        <v>854</v>
      </c>
      <c r="F15" s="30" t="s">
        <v>147</v>
      </c>
      <c r="G15" s="30" t="s">
        <v>847</v>
      </c>
      <c r="H15" s="30" t="s">
        <v>848</v>
      </c>
      <c r="I15" s="274" t="s">
        <v>57</v>
      </c>
      <c r="J15" s="271">
        <v>7399741</v>
      </c>
      <c r="K15" s="31">
        <v>1273627</v>
      </c>
      <c r="L15" s="31">
        <v>109619</v>
      </c>
      <c r="M15" s="160">
        <v>1300</v>
      </c>
      <c r="N15" s="160">
        <v>188796</v>
      </c>
      <c r="O15" s="160">
        <v>156176</v>
      </c>
      <c r="P15" s="31"/>
      <c r="Q15" s="31">
        <f t="shared" si="0"/>
        <v>346272</v>
      </c>
      <c r="R15" s="32">
        <v>783900</v>
      </c>
      <c r="S15" s="36">
        <v>1</v>
      </c>
      <c r="T15" s="54">
        <v>44200</v>
      </c>
      <c r="U15" s="89">
        <v>44223</v>
      </c>
      <c r="V15" s="89"/>
      <c r="W15" s="41"/>
      <c r="X15" s="89"/>
      <c r="Y15" s="89"/>
      <c r="Z15" s="32"/>
      <c r="AA15" s="40"/>
      <c r="AB15" s="34"/>
      <c r="AC15" s="90"/>
      <c r="AD15" s="270">
        <f t="shared" si="1"/>
        <v>783900</v>
      </c>
      <c r="AE15" s="38">
        <f t="shared" si="2"/>
        <v>437628</v>
      </c>
    </row>
    <row r="16" spans="2:31" s="26" customFormat="1" ht="13.5" customHeight="1" x14ac:dyDescent="0.25">
      <c r="B16" s="276">
        <v>5</v>
      </c>
      <c r="C16" s="276" t="s">
        <v>39</v>
      </c>
      <c r="D16" s="28" t="s">
        <v>855</v>
      </c>
      <c r="E16" s="277" t="s">
        <v>856</v>
      </c>
      <c r="F16" s="30" t="s">
        <v>193</v>
      </c>
      <c r="G16" s="30" t="s">
        <v>847</v>
      </c>
      <c r="H16" s="42" t="s">
        <v>857</v>
      </c>
      <c r="I16" s="274" t="s">
        <v>57</v>
      </c>
      <c r="J16" s="271">
        <v>182004</v>
      </c>
      <c r="K16" s="31">
        <v>165117</v>
      </c>
      <c r="L16" s="31">
        <v>0</v>
      </c>
      <c r="M16" s="160">
        <v>16887</v>
      </c>
      <c r="N16" s="160">
        <v>0</v>
      </c>
      <c r="O16" s="160">
        <v>0</v>
      </c>
      <c r="P16" s="31"/>
      <c r="Q16" s="31">
        <f t="shared" si="0"/>
        <v>16887</v>
      </c>
      <c r="R16" s="32">
        <v>16887</v>
      </c>
      <c r="S16" s="36">
        <v>1</v>
      </c>
      <c r="T16" s="54">
        <v>44200</v>
      </c>
      <c r="U16" s="89">
        <v>44223</v>
      </c>
      <c r="V16" s="89"/>
      <c r="W16" s="41"/>
      <c r="X16" s="89"/>
      <c r="Y16" s="89"/>
      <c r="Z16" s="32"/>
      <c r="AA16" s="40"/>
      <c r="AB16" s="34"/>
      <c r="AC16" s="90"/>
      <c r="AD16" s="270">
        <f t="shared" si="1"/>
        <v>16887</v>
      </c>
      <c r="AE16" s="38">
        <f t="shared" si="2"/>
        <v>0</v>
      </c>
    </row>
    <row r="17" spans="2:31" s="26" customFormat="1" ht="13.5" customHeight="1" x14ac:dyDescent="0.25">
      <c r="B17" s="278">
        <v>6</v>
      </c>
      <c r="C17" s="276" t="s">
        <v>39</v>
      </c>
      <c r="D17" s="28" t="s">
        <v>858</v>
      </c>
      <c r="E17" s="277" t="s">
        <v>859</v>
      </c>
      <c r="F17" s="30" t="s">
        <v>147</v>
      </c>
      <c r="G17" s="30" t="s">
        <v>847</v>
      </c>
      <c r="H17" s="42" t="s">
        <v>860</v>
      </c>
      <c r="I17" s="274" t="s">
        <v>57</v>
      </c>
      <c r="J17" s="271">
        <v>3727745</v>
      </c>
      <c r="K17" s="31">
        <v>3376794</v>
      </c>
      <c r="L17" s="31">
        <v>0</v>
      </c>
      <c r="M17" s="160">
        <v>0</v>
      </c>
      <c r="N17" s="160">
        <v>0</v>
      </c>
      <c r="O17" s="160">
        <v>905</v>
      </c>
      <c r="P17" s="31"/>
      <c r="Q17" s="31">
        <f t="shared" si="0"/>
        <v>905</v>
      </c>
      <c r="R17" s="32">
        <v>350000</v>
      </c>
      <c r="S17" s="36">
        <v>1</v>
      </c>
      <c r="T17" s="54">
        <v>44200</v>
      </c>
      <c r="U17" s="89">
        <v>44223</v>
      </c>
      <c r="V17" s="218">
        <v>906</v>
      </c>
      <c r="W17" s="35">
        <v>17</v>
      </c>
      <c r="X17" s="41">
        <v>44242</v>
      </c>
      <c r="Y17" s="89">
        <v>44271</v>
      </c>
      <c r="Z17" s="219"/>
      <c r="AA17" s="219"/>
      <c r="AB17" s="219"/>
      <c r="AC17" s="219"/>
      <c r="AD17" s="270">
        <f t="shared" si="1"/>
        <v>350906</v>
      </c>
      <c r="AE17" s="38">
        <f t="shared" si="2"/>
        <v>350001</v>
      </c>
    </row>
    <row r="18" spans="2:31" s="26" customFormat="1" ht="13.5" customHeight="1" x14ac:dyDescent="0.25">
      <c r="B18" s="276">
        <v>7</v>
      </c>
      <c r="C18" s="276" t="s">
        <v>39</v>
      </c>
      <c r="D18" s="28" t="s">
        <v>861</v>
      </c>
      <c r="E18" s="277" t="s">
        <v>862</v>
      </c>
      <c r="F18" s="30" t="s">
        <v>147</v>
      </c>
      <c r="G18" s="30" t="s">
        <v>847</v>
      </c>
      <c r="H18" s="42" t="s">
        <v>863</v>
      </c>
      <c r="I18" s="274" t="s">
        <v>57</v>
      </c>
      <c r="J18" s="220">
        <v>162567</v>
      </c>
      <c r="K18" s="31">
        <v>132741</v>
      </c>
      <c r="L18" s="31">
        <v>0</v>
      </c>
      <c r="M18" s="160">
        <v>17292</v>
      </c>
      <c r="N18" s="160">
        <v>0</v>
      </c>
      <c r="O18" s="160">
        <f>1190+11044</f>
        <v>12234</v>
      </c>
      <c r="P18" s="31"/>
      <c r="Q18" s="31">
        <f t="shared" si="0"/>
        <v>29526</v>
      </c>
      <c r="R18" s="32">
        <v>29826</v>
      </c>
      <c r="S18" s="36">
        <v>1</v>
      </c>
      <c r="T18" s="54">
        <v>44200</v>
      </c>
      <c r="U18" s="89">
        <v>44223</v>
      </c>
      <c r="V18" s="221"/>
      <c r="W18" s="41"/>
      <c r="X18" s="89"/>
      <c r="Y18" s="89"/>
      <c r="Z18" s="32"/>
      <c r="AA18" s="35"/>
      <c r="AB18" s="36"/>
      <c r="AC18" s="89"/>
      <c r="AD18" s="270">
        <f t="shared" si="1"/>
        <v>29826</v>
      </c>
      <c r="AE18" s="38">
        <f t="shared" si="2"/>
        <v>300</v>
      </c>
    </row>
    <row r="19" spans="2:31" s="26" customFormat="1" ht="13.5" customHeight="1" x14ac:dyDescent="0.25">
      <c r="B19" s="278">
        <v>8</v>
      </c>
      <c r="C19" s="276" t="s">
        <v>39</v>
      </c>
      <c r="D19" s="28" t="s">
        <v>864</v>
      </c>
      <c r="E19" s="277" t="s">
        <v>865</v>
      </c>
      <c r="F19" s="30" t="s">
        <v>147</v>
      </c>
      <c r="G19" s="30" t="s">
        <v>847</v>
      </c>
      <c r="H19" s="42" t="s">
        <v>863</v>
      </c>
      <c r="I19" s="274" t="s">
        <v>57</v>
      </c>
      <c r="J19" s="222">
        <v>659221</v>
      </c>
      <c r="K19" s="31">
        <v>656805</v>
      </c>
      <c r="L19" s="31">
        <v>0</v>
      </c>
      <c r="M19" s="160">
        <v>2415</v>
      </c>
      <c r="N19" s="160">
        <v>0</v>
      </c>
      <c r="O19" s="160">
        <v>0</v>
      </c>
      <c r="P19" s="31"/>
      <c r="Q19" s="31">
        <f t="shared" si="0"/>
        <v>2415</v>
      </c>
      <c r="R19" s="32">
        <v>2416</v>
      </c>
      <c r="S19" s="36">
        <v>1</v>
      </c>
      <c r="T19" s="54">
        <v>44200</v>
      </c>
      <c r="U19" s="89">
        <v>44223</v>
      </c>
      <c r="V19" s="221"/>
      <c r="W19" s="41"/>
      <c r="X19" s="89"/>
      <c r="Y19" s="89"/>
      <c r="Z19" s="32"/>
      <c r="AA19" s="35"/>
      <c r="AB19" s="36"/>
      <c r="AC19" s="89"/>
      <c r="AD19" s="270">
        <f t="shared" si="1"/>
        <v>2416</v>
      </c>
      <c r="AE19" s="38">
        <f t="shared" si="2"/>
        <v>1</v>
      </c>
    </row>
    <row r="20" spans="2:31" s="26" customFormat="1" ht="13.5" customHeight="1" x14ac:dyDescent="0.25">
      <c r="B20" s="278">
        <v>9</v>
      </c>
      <c r="C20" s="276" t="s">
        <v>39</v>
      </c>
      <c r="D20" s="28" t="s">
        <v>866</v>
      </c>
      <c r="E20" s="277" t="s">
        <v>867</v>
      </c>
      <c r="F20" s="30" t="s">
        <v>147</v>
      </c>
      <c r="G20" s="30" t="s">
        <v>847</v>
      </c>
      <c r="H20" s="42" t="s">
        <v>868</v>
      </c>
      <c r="I20" s="274" t="s">
        <v>57</v>
      </c>
      <c r="J20" s="271">
        <v>548516</v>
      </c>
      <c r="K20" s="31">
        <v>208378</v>
      </c>
      <c r="L20" s="31">
        <v>0</v>
      </c>
      <c r="M20" s="160">
        <v>0</v>
      </c>
      <c r="N20" s="160">
        <v>181094</v>
      </c>
      <c r="O20" s="160">
        <v>0</v>
      </c>
      <c r="P20" s="31"/>
      <c r="Q20" s="31">
        <f t="shared" si="0"/>
        <v>181094</v>
      </c>
      <c r="R20" s="32">
        <v>317759</v>
      </c>
      <c r="S20" s="36">
        <v>1</v>
      </c>
      <c r="T20" s="54">
        <v>44200</v>
      </c>
      <c r="U20" s="89">
        <v>44223</v>
      </c>
      <c r="V20" s="221"/>
      <c r="W20" s="41"/>
      <c r="X20" s="89"/>
      <c r="Y20" s="89"/>
      <c r="Z20" s="32"/>
      <c r="AA20" s="35"/>
      <c r="AB20" s="36"/>
      <c r="AC20" s="89"/>
      <c r="AD20" s="270">
        <f t="shared" si="1"/>
        <v>317759</v>
      </c>
      <c r="AE20" s="38">
        <f t="shared" si="2"/>
        <v>136665</v>
      </c>
    </row>
    <row r="21" spans="2:31" s="26" customFormat="1" ht="13.5" customHeight="1" x14ac:dyDescent="0.25">
      <c r="B21" s="278">
        <v>10</v>
      </c>
      <c r="C21" s="276" t="s">
        <v>39</v>
      </c>
      <c r="D21" s="28" t="s">
        <v>869</v>
      </c>
      <c r="E21" s="277" t="s">
        <v>870</v>
      </c>
      <c r="F21" s="30" t="s">
        <v>147</v>
      </c>
      <c r="G21" s="30" t="s">
        <v>847</v>
      </c>
      <c r="H21" s="42" t="s">
        <v>871</v>
      </c>
      <c r="I21" s="274" t="s">
        <v>57</v>
      </c>
      <c r="J21" s="271">
        <v>368358</v>
      </c>
      <c r="K21" s="31">
        <v>364828</v>
      </c>
      <c r="L21" s="31">
        <v>0</v>
      </c>
      <c r="M21" s="160">
        <v>0</v>
      </c>
      <c r="N21" s="160">
        <v>0</v>
      </c>
      <c r="O21" s="160">
        <v>0</v>
      </c>
      <c r="P21" s="31"/>
      <c r="Q21" s="31">
        <f t="shared" si="0"/>
        <v>0</v>
      </c>
      <c r="R21" s="32">
        <v>3530</v>
      </c>
      <c r="S21" s="36">
        <v>1</v>
      </c>
      <c r="T21" s="54">
        <v>44200</v>
      </c>
      <c r="U21" s="89">
        <v>44223</v>
      </c>
      <c r="V21" s="221"/>
      <c r="W21" s="41"/>
      <c r="X21" s="89"/>
      <c r="Y21" s="89"/>
      <c r="Z21" s="32"/>
      <c r="AA21" s="35"/>
      <c r="AB21" s="36"/>
      <c r="AC21" s="89"/>
      <c r="AD21" s="270">
        <f t="shared" si="1"/>
        <v>3530</v>
      </c>
      <c r="AE21" s="38">
        <f t="shared" si="2"/>
        <v>3530</v>
      </c>
    </row>
    <row r="22" spans="2:31" s="26" customFormat="1" ht="13.5" customHeight="1" x14ac:dyDescent="0.25">
      <c r="B22" s="276">
        <v>11</v>
      </c>
      <c r="C22" s="276" t="s">
        <v>39</v>
      </c>
      <c r="D22" s="28" t="s">
        <v>872</v>
      </c>
      <c r="E22" s="277" t="s">
        <v>873</v>
      </c>
      <c r="F22" s="30" t="s">
        <v>147</v>
      </c>
      <c r="G22" s="30" t="s">
        <v>847</v>
      </c>
      <c r="H22" s="42" t="s">
        <v>871</v>
      </c>
      <c r="I22" s="274" t="s">
        <v>57</v>
      </c>
      <c r="J22" s="271">
        <v>369197</v>
      </c>
      <c r="K22" s="31">
        <v>66980</v>
      </c>
      <c r="L22" s="31">
        <v>0</v>
      </c>
      <c r="M22" s="160">
        <v>0</v>
      </c>
      <c r="N22" s="160"/>
      <c r="O22" s="160"/>
      <c r="P22" s="31"/>
      <c r="Q22" s="31">
        <f t="shared" si="0"/>
        <v>0</v>
      </c>
      <c r="R22" s="32">
        <v>6562</v>
      </c>
      <c r="S22" s="36">
        <v>1</v>
      </c>
      <c r="T22" s="54">
        <v>44200</v>
      </c>
      <c r="U22" s="89">
        <v>44223</v>
      </c>
      <c r="V22" s="221"/>
      <c r="W22" s="41"/>
      <c r="X22" s="89"/>
      <c r="Y22" s="89"/>
      <c r="Z22" s="32"/>
      <c r="AA22" s="35"/>
      <c r="AB22" s="36"/>
      <c r="AC22" s="89"/>
      <c r="AD22" s="270">
        <f t="shared" si="1"/>
        <v>6562</v>
      </c>
      <c r="AE22" s="38">
        <f t="shared" si="2"/>
        <v>6562</v>
      </c>
    </row>
    <row r="23" spans="2:31" s="26" customFormat="1" ht="13.5" customHeight="1" x14ac:dyDescent="0.25">
      <c r="B23" s="278">
        <v>12</v>
      </c>
      <c r="C23" s="276" t="s">
        <v>39</v>
      </c>
      <c r="D23" s="28" t="s">
        <v>874</v>
      </c>
      <c r="E23" s="277" t="s">
        <v>875</v>
      </c>
      <c r="F23" s="30" t="s">
        <v>147</v>
      </c>
      <c r="G23" s="30" t="s">
        <v>847</v>
      </c>
      <c r="H23" s="42" t="s">
        <v>876</v>
      </c>
      <c r="I23" s="274" t="s">
        <v>57</v>
      </c>
      <c r="J23" s="271">
        <v>299437</v>
      </c>
      <c r="K23" s="31">
        <v>237397</v>
      </c>
      <c r="L23" s="31">
        <v>0</v>
      </c>
      <c r="M23" s="160">
        <v>62039</v>
      </c>
      <c r="N23" s="160"/>
      <c r="O23" s="160"/>
      <c r="P23" s="31"/>
      <c r="Q23" s="31">
        <f t="shared" si="0"/>
        <v>62039</v>
      </c>
      <c r="R23" s="32">
        <v>62040</v>
      </c>
      <c r="S23" s="36">
        <v>1</v>
      </c>
      <c r="T23" s="54">
        <v>44200</v>
      </c>
      <c r="U23" s="89">
        <v>44223</v>
      </c>
      <c r="V23" s="221"/>
      <c r="W23" s="41"/>
      <c r="X23" s="89"/>
      <c r="Y23" s="89"/>
      <c r="Z23" s="32"/>
      <c r="AA23" s="35"/>
      <c r="AB23" s="36"/>
      <c r="AC23" s="89"/>
      <c r="AD23" s="270">
        <f t="shared" si="1"/>
        <v>62040</v>
      </c>
      <c r="AE23" s="38">
        <f t="shared" si="2"/>
        <v>1</v>
      </c>
    </row>
    <row r="24" spans="2:31" s="26" customFormat="1" ht="13.5" customHeight="1" x14ac:dyDescent="0.25">
      <c r="B24" s="276">
        <v>13</v>
      </c>
      <c r="C24" s="276" t="s">
        <v>39</v>
      </c>
      <c r="D24" s="223" t="s">
        <v>877</v>
      </c>
      <c r="E24" s="277" t="s">
        <v>878</v>
      </c>
      <c r="F24" s="30" t="s">
        <v>147</v>
      </c>
      <c r="G24" s="30" t="s">
        <v>847</v>
      </c>
      <c r="H24" s="42" t="s">
        <v>879</v>
      </c>
      <c r="I24" s="274" t="s">
        <v>57</v>
      </c>
      <c r="J24" s="271">
        <v>322251</v>
      </c>
      <c r="K24" s="31">
        <v>54940</v>
      </c>
      <c r="L24" s="31">
        <v>0</v>
      </c>
      <c r="M24" s="160">
        <v>57781</v>
      </c>
      <c r="N24" s="160"/>
      <c r="O24" s="160"/>
      <c r="P24" s="31"/>
      <c r="Q24" s="31">
        <f t="shared" si="0"/>
        <v>57781</v>
      </c>
      <c r="R24" s="32">
        <v>241800</v>
      </c>
      <c r="S24" s="36">
        <v>1</v>
      </c>
      <c r="T24" s="54">
        <v>44200</v>
      </c>
      <c r="U24" s="89">
        <v>44223</v>
      </c>
      <c r="V24" s="224">
        <v>1387</v>
      </c>
      <c r="W24" s="33">
        <v>11</v>
      </c>
      <c r="X24" s="89">
        <v>44221</v>
      </c>
      <c r="Y24" s="89">
        <v>44246</v>
      </c>
      <c r="Z24" s="32">
        <v>1252</v>
      </c>
      <c r="AA24" s="35">
        <v>17</v>
      </c>
      <c r="AB24" s="41">
        <v>44242</v>
      </c>
      <c r="AC24" s="89">
        <v>44271</v>
      </c>
      <c r="AD24" s="270">
        <f t="shared" si="1"/>
        <v>244439</v>
      </c>
      <c r="AE24" s="38">
        <f t="shared" si="2"/>
        <v>186658</v>
      </c>
    </row>
    <row r="25" spans="2:31" s="26" customFormat="1" ht="13.5" customHeight="1" x14ac:dyDescent="0.25">
      <c r="B25" s="278">
        <v>14</v>
      </c>
      <c r="C25" s="276" t="s">
        <v>39</v>
      </c>
      <c r="D25" s="28" t="s">
        <v>880</v>
      </c>
      <c r="E25" s="277" t="s">
        <v>881</v>
      </c>
      <c r="F25" s="30" t="s">
        <v>147</v>
      </c>
      <c r="G25" s="30" t="s">
        <v>847</v>
      </c>
      <c r="H25" s="42" t="s">
        <v>863</v>
      </c>
      <c r="I25" s="274" t="s">
        <v>57</v>
      </c>
      <c r="J25" s="271">
        <v>691446</v>
      </c>
      <c r="K25" s="31">
        <v>262662</v>
      </c>
      <c r="L25" s="31">
        <v>0</v>
      </c>
      <c r="M25" s="160">
        <v>93881</v>
      </c>
      <c r="N25" s="160">
        <f>3500+104990</f>
        <v>108490</v>
      </c>
      <c r="O25" s="160">
        <v>27438</v>
      </c>
      <c r="P25" s="31"/>
      <c r="Q25" s="31">
        <f t="shared" si="0"/>
        <v>229809</v>
      </c>
      <c r="R25" s="32">
        <v>408651</v>
      </c>
      <c r="S25" s="36">
        <v>1</v>
      </c>
      <c r="T25" s="54">
        <v>44200</v>
      </c>
      <c r="U25" s="89">
        <v>44223</v>
      </c>
      <c r="V25" s="218">
        <v>108750</v>
      </c>
      <c r="W25" s="35">
        <v>22</v>
      </c>
      <c r="X25" s="41">
        <v>44256</v>
      </c>
      <c r="Y25" s="89">
        <v>44277</v>
      </c>
      <c r="Z25" s="32"/>
      <c r="AA25" s="35"/>
      <c r="AB25" s="41"/>
      <c r="AC25" s="89"/>
      <c r="AD25" s="270">
        <f>+R25+V25+Z25</f>
        <v>517401</v>
      </c>
      <c r="AE25" s="38">
        <f t="shared" si="2"/>
        <v>287592</v>
      </c>
    </row>
    <row r="26" spans="2:31" s="26" customFormat="1" ht="13.5" customHeight="1" x14ac:dyDescent="0.25">
      <c r="B26" s="276">
        <v>15</v>
      </c>
      <c r="C26" s="276" t="s">
        <v>39</v>
      </c>
      <c r="D26" s="28" t="s">
        <v>882</v>
      </c>
      <c r="E26" s="277" t="s">
        <v>883</v>
      </c>
      <c r="F26" s="30" t="s">
        <v>147</v>
      </c>
      <c r="G26" s="30" t="s">
        <v>847</v>
      </c>
      <c r="H26" s="42" t="s">
        <v>884</v>
      </c>
      <c r="I26" s="274" t="s">
        <v>57</v>
      </c>
      <c r="J26" s="271">
        <v>271223</v>
      </c>
      <c r="K26" s="31">
        <v>201141</v>
      </c>
      <c r="L26" s="31">
        <v>0</v>
      </c>
      <c r="M26" s="160">
        <v>49101</v>
      </c>
      <c r="N26" s="160">
        <v>8264</v>
      </c>
      <c r="O26" s="160"/>
      <c r="P26" s="31"/>
      <c r="Q26" s="31">
        <f t="shared" si="0"/>
        <v>57365</v>
      </c>
      <c r="R26" s="32">
        <v>69266</v>
      </c>
      <c r="S26" s="36">
        <v>1</v>
      </c>
      <c r="T26" s="54">
        <v>44200</v>
      </c>
      <c r="U26" s="89">
        <v>44223</v>
      </c>
      <c r="V26" s="89"/>
      <c r="W26" s="41"/>
      <c r="X26" s="89"/>
      <c r="Y26" s="89"/>
      <c r="Z26" s="32"/>
      <c r="AA26" s="35"/>
      <c r="AB26" s="36"/>
      <c r="AC26" s="89"/>
      <c r="AD26" s="270">
        <f t="shared" si="1"/>
        <v>69266</v>
      </c>
      <c r="AE26" s="38">
        <f t="shared" si="2"/>
        <v>11901</v>
      </c>
    </row>
    <row r="27" spans="2:31" s="26" customFormat="1" ht="13.5" customHeight="1" x14ac:dyDescent="0.25">
      <c r="B27" s="278">
        <v>16</v>
      </c>
      <c r="C27" s="276" t="s">
        <v>39</v>
      </c>
      <c r="D27" s="28" t="s">
        <v>885</v>
      </c>
      <c r="E27" s="277" t="s">
        <v>886</v>
      </c>
      <c r="F27" s="30" t="s">
        <v>147</v>
      </c>
      <c r="G27" s="30" t="s">
        <v>847</v>
      </c>
      <c r="H27" s="42" t="s">
        <v>884</v>
      </c>
      <c r="I27" s="274" t="s">
        <v>57</v>
      </c>
      <c r="J27" s="271">
        <v>257055</v>
      </c>
      <c r="K27" s="31">
        <v>235140</v>
      </c>
      <c r="L27" s="31">
        <v>0</v>
      </c>
      <c r="M27" s="160">
        <v>0</v>
      </c>
      <c r="N27" s="160"/>
      <c r="O27" s="160">
        <v>5637</v>
      </c>
      <c r="P27" s="31"/>
      <c r="Q27" s="31">
        <f t="shared" si="0"/>
        <v>5637</v>
      </c>
      <c r="R27" s="32">
        <v>21915</v>
      </c>
      <c r="S27" s="36">
        <v>1</v>
      </c>
      <c r="T27" s="54">
        <v>44200</v>
      </c>
      <c r="U27" s="89">
        <v>44223</v>
      </c>
      <c r="V27" s="89"/>
      <c r="W27" s="41"/>
      <c r="X27" s="89"/>
      <c r="Y27" s="89"/>
      <c r="Z27" s="32"/>
      <c r="AA27" s="35"/>
      <c r="AB27" s="36"/>
      <c r="AC27" s="89"/>
      <c r="AD27" s="270">
        <f t="shared" si="1"/>
        <v>21915</v>
      </c>
      <c r="AE27" s="38">
        <f t="shared" si="2"/>
        <v>16278</v>
      </c>
    </row>
    <row r="28" spans="2:31" s="26" customFormat="1" ht="13.5" customHeight="1" x14ac:dyDescent="0.25">
      <c r="B28" s="276">
        <v>17</v>
      </c>
      <c r="C28" s="276" t="s">
        <v>39</v>
      </c>
      <c r="D28" s="28" t="s">
        <v>887</v>
      </c>
      <c r="E28" s="277" t="s">
        <v>888</v>
      </c>
      <c r="F28" s="30" t="s">
        <v>147</v>
      </c>
      <c r="G28" s="30" t="s">
        <v>847</v>
      </c>
      <c r="H28" s="42" t="s">
        <v>884</v>
      </c>
      <c r="I28" s="274" t="s">
        <v>57</v>
      </c>
      <c r="J28" s="271">
        <v>1302195</v>
      </c>
      <c r="K28" s="31">
        <v>4473</v>
      </c>
      <c r="L28" s="31">
        <v>0</v>
      </c>
      <c r="M28" s="160">
        <v>0</v>
      </c>
      <c r="N28" s="160">
        <f>4375+58412</f>
        <v>62787</v>
      </c>
      <c r="O28" s="160">
        <f>8750+39826</f>
        <v>48576</v>
      </c>
      <c r="P28" s="31"/>
      <c r="Q28" s="31">
        <f t="shared" si="0"/>
        <v>111363</v>
      </c>
      <c r="R28" s="32">
        <v>399018</v>
      </c>
      <c r="S28" s="36">
        <v>1</v>
      </c>
      <c r="T28" s="54">
        <v>44200</v>
      </c>
      <c r="U28" s="89">
        <v>44223</v>
      </c>
      <c r="V28" s="32">
        <v>2</v>
      </c>
      <c r="W28" s="225">
        <v>15</v>
      </c>
      <c r="X28" s="89">
        <v>44228</v>
      </c>
      <c r="Y28" s="89">
        <v>44260</v>
      </c>
      <c r="Z28" s="89"/>
      <c r="AA28" s="35"/>
      <c r="AB28" s="36"/>
      <c r="AC28" s="89"/>
      <c r="AD28" s="270">
        <f>+R28+V28+Z28</f>
        <v>399020</v>
      </c>
      <c r="AE28" s="38">
        <f t="shared" si="2"/>
        <v>287657</v>
      </c>
    </row>
    <row r="29" spans="2:31" s="26" customFormat="1" ht="13.5" customHeight="1" x14ac:dyDescent="0.25">
      <c r="B29" s="278">
        <v>18</v>
      </c>
      <c r="C29" s="276" t="s">
        <v>39</v>
      </c>
      <c r="D29" s="28" t="s">
        <v>889</v>
      </c>
      <c r="E29" s="277" t="s">
        <v>890</v>
      </c>
      <c r="F29" s="30" t="s">
        <v>147</v>
      </c>
      <c r="G29" s="30" t="s">
        <v>847</v>
      </c>
      <c r="H29" s="42" t="s">
        <v>884</v>
      </c>
      <c r="I29" s="274" t="s">
        <v>57</v>
      </c>
      <c r="J29" s="271">
        <v>300667</v>
      </c>
      <c r="K29" s="31">
        <v>0</v>
      </c>
      <c r="L29" s="31">
        <v>0</v>
      </c>
      <c r="M29" s="160">
        <v>32239</v>
      </c>
      <c r="N29" s="160"/>
      <c r="O29" s="160">
        <v>246696</v>
      </c>
      <c r="P29" s="31"/>
      <c r="Q29" s="31">
        <f t="shared" si="0"/>
        <v>278935</v>
      </c>
      <c r="R29" s="32">
        <v>278935</v>
      </c>
      <c r="S29" s="36">
        <v>1</v>
      </c>
      <c r="T29" s="54">
        <v>44200</v>
      </c>
      <c r="U29" s="89">
        <v>44223</v>
      </c>
      <c r="V29" s="89"/>
      <c r="W29" s="41"/>
      <c r="X29" s="89"/>
      <c r="Y29" s="89"/>
      <c r="Z29" s="32"/>
      <c r="AA29" s="35"/>
      <c r="AB29" s="36"/>
      <c r="AC29" s="89"/>
      <c r="AD29" s="270">
        <f t="shared" si="1"/>
        <v>278935</v>
      </c>
      <c r="AE29" s="38">
        <f t="shared" si="2"/>
        <v>0</v>
      </c>
    </row>
    <row r="30" spans="2:31" s="26" customFormat="1" ht="13.5" customHeight="1" x14ac:dyDescent="0.25">
      <c r="B30" s="276">
        <v>19</v>
      </c>
      <c r="C30" s="276" t="s">
        <v>39</v>
      </c>
      <c r="D30" s="28" t="s">
        <v>891</v>
      </c>
      <c r="E30" s="277" t="s">
        <v>892</v>
      </c>
      <c r="F30" s="30" t="s">
        <v>147</v>
      </c>
      <c r="G30" s="30" t="s">
        <v>847</v>
      </c>
      <c r="H30" s="42" t="s">
        <v>893</v>
      </c>
      <c r="I30" s="274" t="s">
        <v>57</v>
      </c>
      <c r="J30" s="271">
        <v>1000149</v>
      </c>
      <c r="K30" s="31">
        <v>240242</v>
      </c>
      <c r="L30" s="31">
        <v>0</v>
      </c>
      <c r="M30" s="160">
        <f>1800+38261</f>
        <v>40061</v>
      </c>
      <c r="N30" s="160">
        <f>1800+95719</f>
        <v>97519</v>
      </c>
      <c r="O30" s="160">
        <f>3600+90226</f>
        <v>93826</v>
      </c>
      <c r="P30" s="31"/>
      <c r="Q30" s="31">
        <f t="shared" si="0"/>
        <v>231406</v>
      </c>
      <c r="R30" s="32">
        <v>224502</v>
      </c>
      <c r="S30" s="36">
        <v>1</v>
      </c>
      <c r="T30" s="54">
        <v>44200</v>
      </c>
      <c r="U30" s="89">
        <v>44223</v>
      </c>
      <c r="V30" s="89"/>
      <c r="W30" s="41"/>
      <c r="X30" s="89"/>
      <c r="Y30" s="89"/>
      <c r="Z30" s="32"/>
      <c r="AA30" s="35"/>
      <c r="AB30" s="36"/>
      <c r="AC30" s="89"/>
      <c r="AD30" s="270">
        <f t="shared" si="1"/>
        <v>224502</v>
      </c>
      <c r="AE30" s="38">
        <f t="shared" si="2"/>
        <v>-6904</v>
      </c>
    </row>
    <row r="31" spans="2:31" s="26" customFormat="1" ht="13.5" customHeight="1" x14ac:dyDescent="0.25">
      <c r="B31" s="278">
        <v>20</v>
      </c>
      <c r="C31" s="276" t="s">
        <v>39</v>
      </c>
      <c r="D31" s="28" t="s">
        <v>894</v>
      </c>
      <c r="E31" s="277" t="s">
        <v>895</v>
      </c>
      <c r="F31" s="30" t="s">
        <v>193</v>
      </c>
      <c r="G31" s="30" t="s">
        <v>847</v>
      </c>
      <c r="H31" s="42" t="s">
        <v>893</v>
      </c>
      <c r="I31" s="274" t="s">
        <v>72</v>
      </c>
      <c r="J31" s="271">
        <v>51891</v>
      </c>
      <c r="K31" s="31">
        <v>0</v>
      </c>
      <c r="L31" s="31">
        <v>0</v>
      </c>
      <c r="M31" s="160">
        <v>0</v>
      </c>
      <c r="N31" s="160"/>
      <c r="O31" s="160"/>
      <c r="P31" s="31"/>
      <c r="Q31" s="31">
        <f t="shared" si="0"/>
        <v>0</v>
      </c>
      <c r="R31" s="32">
        <v>29193</v>
      </c>
      <c r="S31" s="36">
        <v>1</v>
      </c>
      <c r="T31" s="54">
        <v>44200</v>
      </c>
      <c r="U31" s="89">
        <v>44223</v>
      </c>
      <c r="V31" s="32">
        <v>1</v>
      </c>
      <c r="W31" s="35">
        <v>15</v>
      </c>
      <c r="X31" s="41">
        <v>44228</v>
      </c>
      <c r="Y31" s="89">
        <v>44260</v>
      </c>
      <c r="Z31" s="32"/>
      <c r="AA31" s="35"/>
      <c r="AB31" s="41"/>
      <c r="AC31" s="89"/>
      <c r="AD31" s="270">
        <f t="shared" si="1"/>
        <v>29194</v>
      </c>
      <c r="AE31" s="38">
        <f t="shared" si="2"/>
        <v>29194</v>
      </c>
    </row>
    <row r="32" spans="2:31" s="26" customFormat="1" ht="13.5" customHeight="1" x14ac:dyDescent="0.25">
      <c r="B32" s="276">
        <v>21</v>
      </c>
      <c r="C32" s="276" t="s">
        <v>39</v>
      </c>
      <c r="D32" s="28" t="s">
        <v>896</v>
      </c>
      <c r="E32" s="277" t="s">
        <v>897</v>
      </c>
      <c r="F32" s="30" t="s">
        <v>193</v>
      </c>
      <c r="G32" s="30" t="s">
        <v>847</v>
      </c>
      <c r="H32" s="42" t="s">
        <v>893</v>
      </c>
      <c r="I32" s="274" t="s">
        <v>57</v>
      </c>
      <c r="J32" s="271">
        <v>23759</v>
      </c>
      <c r="K32" s="31">
        <v>0</v>
      </c>
      <c r="L32" s="31">
        <v>0</v>
      </c>
      <c r="M32" s="160">
        <v>6150</v>
      </c>
      <c r="N32" s="160"/>
      <c r="O32" s="160"/>
      <c r="P32" s="31"/>
      <c r="Q32" s="31">
        <f t="shared" si="0"/>
        <v>6150</v>
      </c>
      <c r="R32" s="32">
        <v>12300</v>
      </c>
      <c r="S32" s="36">
        <v>1</v>
      </c>
      <c r="T32" s="54">
        <v>44200</v>
      </c>
      <c r="U32" s="89">
        <v>44223</v>
      </c>
      <c r="V32" s="89"/>
      <c r="W32" s="41"/>
      <c r="X32" s="89"/>
      <c r="Y32" s="89"/>
      <c r="Z32" s="32"/>
      <c r="AA32" s="35"/>
      <c r="AB32" s="36"/>
      <c r="AC32" s="89"/>
      <c r="AD32" s="270">
        <f t="shared" si="1"/>
        <v>12300</v>
      </c>
      <c r="AE32" s="38">
        <f>+AD32-Q32</f>
        <v>6150</v>
      </c>
    </row>
    <row r="33" spans="2:31" s="26" customFormat="1" ht="13.5" customHeight="1" x14ac:dyDescent="0.25">
      <c r="B33" s="278">
        <v>22</v>
      </c>
      <c r="C33" s="276" t="s">
        <v>39</v>
      </c>
      <c r="D33" s="28" t="s">
        <v>898</v>
      </c>
      <c r="E33" s="277" t="s">
        <v>899</v>
      </c>
      <c r="F33" s="30" t="s">
        <v>193</v>
      </c>
      <c r="G33" s="30" t="s">
        <v>847</v>
      </c>
      <c r="H33" s="42" t="s">
        <v>900</v>
      </c>
      <c r="I33" s="274" t="s">
        <v>57</v>
      </c>
      <c r="J33" s="271">
        <v>30418</v>
      </c>
      <c r="K33" s="31">
        <v>13418</v>
      </c>
      <c r="L33" s="31">
        <v>0</v>
      </c>
      <c r="M33" s="160">
        <v>0</v>
      </c>
      <c r="N33" s="160">
        <v>9541</v>
      </c>
      <c r="O33" s="160"/>
      <c r="P33" s="31"/>
      <c r="Q33" s="31">
        <f t="shared" si="0"/>
        <v>9541</v>
      </c>
      <c r="R33" s="32">
        <v>13600</v>
      </c>
      <c r="S33" s="36">
        <v>1</v>
      </c>
      <c r="T33" s="54">
        <v>44200</v>
      </c>
      <c r="U33" s="89">
        <v>44223</v>
      </c>
      <c r="V33" s="89"/>
      <c r="W33" s="41"/>
      <c r="X33" s="89"/>
      <c r="Y33" s="89"/>
      <c r="Z33" s="32"/>
      <c r="AA33" s="35"/>
      <c r="AB33" s="36"/>
      <c r="AC33" s="89"/>
      <c r="AD33" s="270">
        <f t="shared" si="1"/>
        <v>13600</v>
      </c>
      <c r="AE33" s="38">
        <f t="shared" si="2"/>
        <v>4059</v>
      </c>
    </row>
    <row r="34" spans="2:31" s="26" customFormat="1" ht="13.5" customHeight="1" x14ac:dyDescent="0.25">
      <c r="B34" s="276">
        <v>23</v>
      </c>
      <c r="C34" s="276" t="s">
        <v>39</v>
      </c>
      <c r="D34" s="28" t="s">
        <v>901</v>
      </c>
      <c r="E34" s="277" t="s">
        <v>902</v>
      </c>
      <c r="F34" s="30" t="s">
        <v>147</v>
      </c>
      <c r="G34" s="30" t="s">
        <v>847</v>
      </c>
      <c r="H34" s="42" t="s">
        <v>900</v>
      </c>
      <c r="I34" s="274" t="s">
        <v>57</v>
      </c>
      <c r="J34" s="271">
        <v>668999</v>
      </c>
      <c r="K34" s="31">
        <v>549542</v>
      </c>
      <c r="L34" s="31">
        <v>0</v>
      </c>
      <c r="M34" s="160">
        <v>0</v>
      </c>
      <c r="N34" s="160">
        <f>4300+82846</f>
        <v>87146</v>
      </c>
      <c r="O34" s="160"/>
      <c r="P34" s="31"/>
      <c r="Q34" s="31">
        <f t="shared" si="0"/>
        <v>87146</v>
      </c>
      <c r="R34" s="32">
        <v>116310</v>
      </c>
      <c r="S34" s="36">
        <v>1</v>
      </c>
      <c r="T34" s="54">
        <v>44200</v>
      </c>
      <c r="U34" s="89">
        <v>44223</v>
      </c>
      <c r="V34" s="89"/>
      <c r="W34" s="41"/>
      <c r="X34" s="89"/>
      <c r="Y34" s="89"/>
      <c r="Z34" s="32"/>
      <c r="AA34" s="35"/>
      <c r="AB34" s="36"/>
      <c r="AC34" s="89"/>
      <c r="AD34" s="270">
        <f t="shared" si="1"/>
        <v>116310</v>
      </c>
      <c r="AE34" s="38">
        <f t="shared" si="2"/>
        <v>29164</v>
      </c>
    </row>
    <row r="35" spans="2:31" s="26" customFormat="1" ht="13.5" customHeight="1" x14ac:dyDescent="0.25">
      <c r="B35" s="278">
        <v>24</v>
      </c>
      <c r="C35" s="276" t="s">
        <v>39</v>
      </c>
      <c r="D35" s="28" t="s">
        <v>903</v>
      </c>
      <c r="E35" s="277" t="s">
        <v>904</v>
      </c>
      <c r="F35" s="30" t="s">
        <v>193</v>
      </c>
      <c r="G35" s="30" t="s">
        <v>847</v>
      </c>
      <c r="H35" s="42" t="s">
        <v>900</v>
      </c>
      <c r="I35" s="274" t="s">
        <v>57</v>
      </c>
      <c r="J35" s="271">
        <v>44887</v>
      </c>
      <c r="K35" s="31">
        <v>25460</v>
      </c>
      <c r="L35" s="31">
        <v>0</v>
      </c>
      <c r="M35" s="160"/>
      <c r="N35" s="160"/>
      <c r="O35" s="160"/>
      <c r="P35" s="31"/>
      <c r="Q35" s="31">
        <f t="shared" si="0"/>
        <v>0</v>
      </c>
      <c r="R35" s="32">
        <v>30316</v>
      </c>
      <c r="S35" s="36">
        <v>1</v>
      </c>
      <c r="T35" s="54">
        <v>44200</v>
      </c>
      <c r="U35" s="89">
        <v>44223</v>
      </c>
      <c r="V35" s="89"/>
      <c r="W35" s="41"/>
      <c r="X35" s="89"/>
      <c r="Y35" s="89"/>
      <c r="Z35" s="32"/>
      <c r="AA35" s="35"/>
      <c r="AB35" s="36"/>
      <c r="AC35" s="89"/>
      <c r="AD35" s="270">
        <f t="shared" si="1"/>
        <v>30316</v>
      </c>
      <c r="AE35" s="38">
        <f t="shared" si="2"/>
        <v>30316</v>
      </c>
    </row>
    <row r="36" spans="2:31" s="26" customFormat="1" ht="13.5" customHeight="1" x14ac:dyDescent="0.25">
      <c r="B36" s="276">
        <v>25</v>
      </c>
      <c r="C36" s="276" t="s">
        <v>39</v>
      </c>
      <c r="D36" s="28" t="s">
        <v>905</v>
      </c>
      <c r="E36" s="277" t="s">
        <v>906</v>
      </c>
      <c r="F36" s="30" t="s">
        <v>193</v>
      </c>
      <c r="G36" s="30" t="s">
        <v>847</v>
      </c>
      <c r="H36" s="42" t="s">
        <v>900</v>
      </c>
      <c r="I36" s="274" t="s">
        <v>57</v>
      </c>
      <c r="J36" s="271">
        <v>34393</v>
      </c>
      <c r="K36" s="31">
        <v>21233</v>
      </c>
      <c r="L36" s="31">
        <v>0</v>
      </c>
      <c r="M36" s="160">
        <v>13160</v>
      </c>
      <c r="N36" s="160"/>
      <c r="O36" s="160"/>
      <c r="P36" s="31"/>
      <c r="Q36" s="31">
        <f t="shared" si="0"/>
        <v>13160</v>
      </c>
      <c r="R36" s="32">
        <v>13160</v>
      </c>
      <c r="S36" s="36">
        <v>1</v>
      </c>
      <c r="T36" s="54">
        <v>44200</v>
      </c>
      <c r="U36" s="89">
        <v>44223</v>
      </c>
      <c r="V36" s="89"/>
      <c r="W36" s="41"/>
      <c r="X36" s="89"/>
      <c r="Y36" s="89"/>
      <c r="Z36" s="32"/>
      <c r="AA36" s="35"/>
      <c r="AB36" s="36"/>
      <c r="AC36" s="89"/>
      <c r="AD36" s="270">
        <f t="shared" si="1"/>
        <v>13160</v>
      </c>
      <c r="AE36" s="38">
        <f t="shared" si="2"/>
        <v>0</v>
      </c>
    </row>
    <row r="37" spans="2:31" s="26" customFormat="1" ht="13.5" customHeight="1" x14ac:dyDescent="0.25">
      <c r="B37" s="278">
        <v>26</v>
      </c>
      <c r="C37" s="276" t="s">
        <v>39</v>
      </c>
      <c r="D37" s="28" t="s">
        <v>907</v>
      </c>
      <c r="E37" s="277" t="s">
        <v>908</v>
      </c>
      <c r="F37" s="30" t="s">
        <v>193</v>
      </c>
      <c r="G37" s="30" t="s">
        <v>847</v>
      </c>
      <c r="H37" s="42" t="s">
        <v>909</v>
      </c>
      <c r="I37" s="274" t="s">
        <v>57</v>
      </c>
      <c r="J37" s="271">
        <v>135783</v>
      </c>
      <c r="K37" s="31">
        <v>23270</v>
      </c>
      <c r="L37" s="31">
        <v>0</v>
      </c>
      <c r="M37" s="160">
        <v>0</v>
      </c>
      <c r="N37" s="160"/>
      <c r="O37" s="160"/>
      <c r="P37" s="31"/>
      <c r="Q37" s="31">
        <f t="shared" si="0"/>
        <v>0</v>
      </c>
      <c r="R37" s="32">
        <v>35000</v>
      </c>
      <c r="S37" s="36">
        <v>1</v>
      </c>
      <c r="T37" s="54">
        <v>44200</v>
      </c>
      <c r="U37" s="89">
        <v>44223</v>
      </c>
      <c r="V37" s="89"/>
      <c r="W37" s="41"/>
      <c r="X37" s="89"/>
      <c r="Y37" s="89"/>
      <c r="Z37" s="32"/>
      <c r="AA37" s="35"/>
      <c r="AB37" s="36"/>
      <c r="AC37" s="89"/>
      <c r="AD37" s="270">
        <f t="shared" si="1"/>
        <v>35000</v>
      </c>
      <c r="AE37" s="38">
        <f t="shared" si="2"/>
        <v>35000</v>
      </c>
    </row>
    <row r="38" spans="2:31" s="26" customFormat="1" ht="13.5" customHeight="1" x14ac:dyDescent="0.25">
      <c r="B38" s="276">
        <v>27</v>
      </c>
      <c r="C38" s="276" t="s">
        <v>39</v>
      </c>
      <c r="D38" s="28" t="s">
        <v>910</v>
      </c>
      <c r="E38" s="277" t="s">
        <v>911</v>
      </c>
      <c r="F38" s="30" t="s">
        <v>193</v>
      </c>
      <c r="G38" s="30" t="s">
        <v>847</v>
      </c>
      <c r="H38" s="42" t="s">
        <v>912</v>
      </c>
      <c r="I38" s="274" t="s">
        <v>57</v>
      </c>
      <c r="J38" s="271">
        <v>312378</v>
      </c>
      <c r="K38" s="31">
        <v>234857</v>
      </c>
      <c r="L38" s="31">
        <v>0</v>
      </c>
      <c r="M38" s="160"/>
      <c r="N38" s="160"/>
      <c r="O38" s="160"/>
      <c r="P38" s="31"/>
      <c r="Q38" s="31">
        <f t="shared" si="0"/>
        <v>0</v>
      </c>
      <c r="R38" s="32">
        <v>77144</v>
      </c>
      <c r="S38" s="36">
        <v>1</v>
      </c>
      <c r="T38" s="54">
        <v>44200</v>
      </c>
      <c r="U38" s="89">
        <v>44223</v>
      </c>
      <c r="V38" s="89"/>
      <c r="W38" s="41"/>
      <c r="X38" s="89"/>
      <c r="Y38" s="89"/>
      <c r="Z38" s="32"/>
      <c r="AA38" s="35"/>
      <c r="AB38" s="36"/>
      <c r="AC38" s="89"/>
      <c r="AD38" s="270">
        <f t="shared" si="1"/>
        <v>77144</v>
      </c>
      <c r="AE38" s="38">
        <f t="shared" si="2"/>
        <v>77144</v>
      </c>
    </row>
    <row r="39" spans="2:31" s="26" customFormat="1" ht="13.5" customHeight="1" x14ac:dyDescent="0.25">
      <c r="B39" s="278">
        <v>28</v>
      </c>
      <c r="C39" s="276" t="s">
        <v>39</v>
      </c>
      <c r="D39" s="28" t="s">
        <v>913</v>
      </c>
      <c r="E39" s="277" t="s">
        <v>914</v>
      </c>
      <c r="F39" s="30" t="s">
        <v>147</v>
      </c>
      <c r="G39" s="30" t="s">
        <v>847</v>
      </c>
      <c r="H39" s="42" t="s">
        <v>915</v>
      </c>
      <c r="I39" s="274" t="s">
        <v>57</v>
      </c>
      <c r="J39" s="271">
        <v>323489</v>
      </c>
      <c r="K39" s="31">
        <v>206720</v>
      </c>
      <c r="L39" s="31">
        <v>0</v>
      </c>
      <c r="M39" s="160"/>
      <c r="N39" s="160"/>
      <c r="O39" s="160"/>
      <c r="P39" s="31"/>
      <c r="Q39" s="31">
        <f t="shared" si="0"/>
        <v>0</v>
      </c>
      <c r="R39" s="32">
        <v>98990</v>
      </c>
      <c r="S39" s="36">
        <v>1</v>
      </c>
      <c r="T39" s="54">
        <v>44200</v>
      </c>
      <c r="U39" s="89">
        <v>44223</v>
      </c>
      <c r="V39" s="89"/>
      <c r="W39" s="41"/>
      <c r="X39" s="89"/>
      <c r="Y39" s="89"/>
      <c r="Z39" s="32"/>
      <c r="AA39" s="35"/>
      <c r="AB39" s="36"/>
      <c r="AC39" s="89"/>
      <c r="AD39" s="270">
        <f t="shared" si="1"/>
        <v>98990</v>
      </c>
      <c r="AE39" s="38">
        <f t="shared" si="2"/>
        <v>98990</v>
      </c>
    </row>
    <row r="40" spans="2:31" s="26" customFormat="1" ht="13.5" customHeight="1" x14ac:dyDescent="0.25">
      <c r="B40" s="276">
        <v>29</v>
      </c>
      <c r="C40" s="276" t="s">
        <v>39</v>
      </c>
      <c r="D40" s="28" t="s">
        <v>916</v>
      </c>
      <c r="E40" s="277" t="s">
        <v>917</v>
      </c>
      <c r="F40" s="30" t="s">
        <v>147</v>
      </c>
      <c r="G40" s="30" t="s">
        <v>847</v>
      </c>
      <c r="H40" s="42" t="s">
        <v>918</v>
      </c>
      <c r="I40" s="274" t="s">
        <v>57</v>
      </c>
      <c r="J40" s="271">
        <v>394530</v>
      </c>
      <c r="K40" s="31">
        <v>348187</v>
      </c>
      <c r="L40" s="31">
        <v>0</v>
      </c>
      <c r="M40" s="160"/>
      <c r="N40" s="160"/>
      <c r="O40" s="160">
        <v>12651</v>
      </c>
      <c r="P40" s="31"/>
      <c r="Q40" s="31">
        <f t="shared" si="0"/>
        <v>12651</v>
      </c>
      <c r="R40" s="32">
        <v>52733</v>
      </c>
      <c r="S40" s="36">
        <v>1</v>
      </c>
      <c r="T40" s="54">
        <v>44200</v>
      </c>
      <c r="U40" s="89">
        <v>44223</v>
      </c>
      <c r="V40" s="89"/>
      <c r="W40" s="41"/>
      <c r="X40" s="89"/>
      <c r="Y40" s="89"/>
      <c r="Z40" s="32"/>
      <c r="AA40" s="35"/>
      <c r="AB40" s="36"/>
      <c r="AC40" s="89"/>
      <c r="AD40" s="270">
        <f t="shared" si="1"/>
        <v>52733</v>
      </c>
      <c r="AE40" s="38">
        <f t="shared" si="2"/>
        <v>40082</v>
      </c>
    </row>
    <row r="41" spans="2:31" s="26" customFormat="1" ht="13.5" customHeight="1" x14ac:dyDescent="0.25">
      <c r="B41" s="278">
        <v>30</v>
      </c>
      <c r="C41" s="276" t="s">
        <v>39</v>
      </c>
      <c r="D41" s="28" t="s">
        <v>919</v>
      </c>
      <c r="E41" s="277" t="s">
        <v>920</v>
      </c>
      <c r="F41" s="30" t="s">
        <v>193</v>
      </c>
      <c r="G41" s="30" t="s">
        <v>847</v>
      </c>
      <c r="H41" s="42" t="s">
        <v>921</v>
      </c>
      <c r="I41" s="274" t="s">
        <v>57</v>
      </c>
      <c r="J41" s="271">
        <v>137464</v>
      </c>
      <c r="K41" s="31">
        <v>74364</v>
      </c>
      <c r="L41" s="31">
        <v>0</v>
      </c>
      <c r="M41" s="160"/>
      <c r="N41" s="160">
        <v>29500</v>
      </c>
      <c r="O41" s="160"/>
      <c r="P41" s="31"/>
      <c r="Q41" s="31">
        <f t="shared" si="0"/>
        <v>29500</v>
      </c>
      <c r="R41" s="32">
        <v>50676</v>
      </c>
      <c r="S41" s="36">
        <v>1</v>
      </c>
      <c r="T41" s="54">
        <v>44200</v>
      </c>
      <c r="U41" s="89">
        <v>44223</v>
      </c>
      <c r="V41" s="89"/>
      <c r="W41" s="41"/>
      <c r="X41" s="89"/>
      <c r="Y41" s="89"/>
      <c r="Z41" s="32"/>
      <c r="AA41" s="35"/>
      <c r="AB41" s="36"/>
      <c r="AC41" s="89"/>
      <c r="AD41" s="270">
        <f t="shared" si="1"/>
        <v>50676</v>
      </c>
      <c r="AE41" s="38">
        <f t="shared" si="2"/>
        <v>21176</v>
      </c>
    </row>
    <row r="42" spans="2:31" s="26" customFormat="1" ht="13.5" customHeight="1" x14ac:dyDescent="0.25">
      <c r="B42" s="276">
        <v>31</v>
      </c>
      <c r="C42" s="276" t="s">
        <v>39</v>
      </c>
      <c r="D42" s="28" t="s">
        <v>922</v>
      </c>
      <c r="E42" s="277" t="s">
        <v>923</v>
      </c>
      <c r="F42" s="30" t="s">
        <v>147</v>
      </c>
      <c r="G42" s="30" t="s">
        <v>847</v>
      </c>
      <c r="H42" s="42" t="s">
        <v>924</v>
      </c>
      <c r="I42" s="274" t="s">
        <v>57</v>
      </c>
      <c r="J42" s="271">
        <v>4217787</v>
      </c>
      <c r="K42" s="31">
        <v>4131915</v>
      </c>
      <c r="L42" s="31">
        <v>0</v>
      </c>
      <c r="M42" s="160"/>
      <c r="N42" s="160"/>
      <c r="O42" s="160"/>
      <c r="P42" s="31"/>
      <c r="Q42" s="31">
        <f t="shared" si="0"/>
        <v>0</v>
      </c>
      <c r="R42" s="32">
        <v>21250</v>
      </c>
      <c r="S42" s="36">
        <v>1</v>
      </c>
      <c r="T42" s="54">
        <v>44200</v>
      </c>
      <c r="U42" s="89">
        <v>44223</v>
      </c>
      <c r="V42" s="89"/>
      <c r="W42" s="41"/>
      <c r="X42" s="89"/>
      <c r="Y42" s="89"/>
      <c r="Z42" s="32"/>
      <c r="AA42" s="35"/>
      <c r="AB42" s="36"/>
      <c r="AC42" s="89"/>
      <c r="AD42" s="270">
        <f t="shared" si="1"/>
        <v>21250</v>
      </c>
      <c r="AE42" s="38">
        <f t="shared" si="2"/>
        <v>21250</v>
      </c>
    </row>
    <row r="43" spans="2:31" s="26" customFormat="1" ht="13.5" customHeight="1" x14ac:dyDescent="0.25">
      <c r="B43" s="278">
        <v>32</v>
      </c>
      <c r="C43" s="276" t="s">
        <v>39</v>
      </c>
      <c r="D43" s="28" t="s">
        <v>925</v>
      </c>
      <c r="E43" s="277" t="s">
        <v>926</v>
      </c>
      <c r="F43" s="30" t="s">
        <v>147</v>
      </c>
      <c r="G43" s="30" t="s">
        <v>847</v>
      </c>
      <c r="H43" s="42" t="s">
        <v>924</v>
      </c>
      <c r="I43" s="274" t="s">
        <v>57</v>
      </c>
      <c r="J43" s="271">
        <v>3691386</v>
      </c>
      <c r="K43" s="31">
        <v>3603092</v>
      </c>
      <c r="L43" s="31">
        <v>1</v>
      </c>
      <c r="M43" s="160"/>
      <c r="N43" s="160"/>
      <c r="O43" s="160"/>
      <c r="P43" s="31"/>
      <c r="Q43" s="31">
        <f t="shared" si="0"/>
        <v>0</v>
      </c>
      <c r="R43" s="32">
        <v>28018</v>
      </c>
      <c r="S43" s="36">
        <v>1</v>
      </c>
      <c r="T43" s="54">
        <v>44200</v>
      </c>
      <c r="U43" s="89">
        <v>44223</v>
      </c>
      <c r="V43" s="89"/>
      <c r="W43" s="41"/>
      <c r="X43" s="89"/>
      <c r="Y43" s="89"/>
      <c r="Z43" s="32"/>
      <c r="AA43" s="35"/>
      <c r="AB43" s="36"/>
      <c r="AC43" s="89"/>
      <c r="AD43" s="270">
        <f t="shared" si="1"/>
        <v>28018</v>
      </c>
      <c r="AE43" s="38">
        <f t="shared" si="2"/>
        <v>28018</v>
      </c>
    </row>
    <row r="44" spans="2:31" s="26" customFormat="1" ht="13.5" customHeight="1" x14ac:dyDescent="0.25">
      <c r="B44" s="276">
        <v>33</v>
      </c>
      <c r="C44" s="276" t="s">
        <v>39</v>
      </c>
      <c r="D44" s="28" t="s">
        <v>927</v>
      </c>
      <c r="E44" s="277" t="s">
        <v>928</v>
      </c>
      <c r="F44" s="30" t="s">
        <v>147</v>
      </c>
      <c r="G44" s="30" t="s">
        <v>847</v>
      </c>
      <c r="H44" s="42" t="s">
        <v>924</v>
      </c>
      <c r="I44" s="274" t="s">
        <v>57</v>
      </c>
      <c r="J44" s="271">
        <v>701747</v>
      </c>
      <c r="K44" s="31">
        <v>599230</v>
      </c>
      <c r="L44" s="31">
        <v>0</v>
      </c>
      <c r="M44" s="160"/>
      <c r="N44" s="160"/>
      <c r="O44" s="160">
        <v>6114</v>
      </c>
      <c r="P44" s="31"/>
      <c r="Q44" s="31">
        <f t="shared" ref="Q44:Q75" si="3">SUM(M44:P44)</f>
        <v>6114</v>
      </c>
      <c r="R44" s="32">
        <v>50440</v>
      </c>
      <c r="S44" s="36">
        <v>1</v>
      </c>
      <c r="T44" s="54">
        <v>44200</v>
      </c>
      <c r="U44" s="89">
        <v>44223</v>
      </c>
      <c r="V44" s="89"/>
      <c r="W44" s="41"/>
      <c r="X44" s="89"/>
      <c r="Y44" s="89"/>
      <c r="Z44" s="32"/>
      <c r="AA44" s="35"/>
      <c r="AB44" s="36"/>
      <c r="AC44" s="89"/>
      <c r="AD44" s="270">
        <f t="shared" si="1"/>
        <v>50440</v>
      </c>
      <c r="AE44" s="38">
        <f t="shared" si="2"/>
        <v>44326</v>
      </c>
    </row>
    <row r="45" spans="2:31" s="26" customFormat="1" ht="13.5" customHeight="1" x14ac:dyDescent="0.25">
      <c r="B45" s="278">
        <v>34</v>
      </c>
      <c r="C45" s="276" t="s">
        <v>39</v>
      </c>
      <c r="D45" s="28" t="s">
        <v>929</v>
      </c>
      <c r="E45" s="277" t="s">
        <v>930</v>
      </c>
      <c r="F45" s="30" t="s">
        <v>147</v>
      </c>
      <c r="G45" s="30" t="s">
        <v>847</v>
      </c>
      <c r="H45" s="42" t="s">
        <v>931</v>
      </c>
      <c r="I45" s="274" t="s">
        <v>57</v>
      </c>
      <c r="J45" s="271">
        <v>645926</v>
      </c>
      <c r="K45" s="31">
        <v>570048</v>
      </c>
      <c r="L45" s="31">
        <v>0</v>
      </c>
      <c r="M45" s="160">
        <v>35724</v>
      </c>
      <c r="N45" s="160"/>
      <c r="O45" s="160"/>
      <c r="P45" s="31"/>
      <c r="Q45" s="31">
        <f t="shared" si="3"/>
        <v>35724</v>
      </c>
      <c r="R45" s="32">
        <v>87823</v>
      </c>
      <c r="S45" s="36">
        <v>1</v>
      </c>
      <c r="T45" s="54">
        <v>44200</v>
      </c>
      <c r="U45" s="89">
        <v>44223</v>
      </c>
      <c r="V45" s="89"/>
      <c r="W45" s="41"/>
      <c r="X45" s="89"/>
      <c r="Y45" s="89"/>
      <c r="Z45" s="32"/>
      <c r="AA45" s="35"/>
      <c r="AB45" s="36"/>
      <c r="AC45" s="89"/>
      <c r="AD45" s="270">
        <f t="shared" si="1"/>
        <v>87823</v>
      </c>
      <c r="AE45" s="38">
        <f t="shared" si="2"/>
        <v>52099</v>
      </c>
    </row>
    <row r="46" spans="2:31" s="26" customFormat="1" ht="13.5" customHeight="1" x14ac:dyDescent="0.25">
      <c r="B46" s="276">
        <v>35</v>
      </c>
      <c r="C46" s="276" t="s">
        <v>39</v>
      </c>
      <c r="D46" s="28" t="s">
        <v>932</v>
      </c>
      <c r="E46" s="277" t="s">
        <v>933</v>
      </c>
      <c r="F46" s="30" t="s">
        <v>934</v>
      </c>
      <c r="G46" s="30" t="s">
        <v>847</v>
      </c>
      <c r="H46" s="42" t="s">
        <v>931</v>
      </c>
      <c r="I46" s="274" t="s">
        <v>72</v>
      </c>
      <c r="J46" s="271">
        <v>672376</v>
      </c>
      <c r="K46" s="31">
        <v>562376</v>
      </c>
      <c r="L46" s="31">
        <v>0</v>
      </c>
      <c r="M46" s="160"/>
      <c r="N46" s="160"/>
      <c r="O46" s="160"/>
      <c r="P46" s="31"/>
      <c r="Q46" s="31">
        <f t="shared" si="3"/>
        <v>0</v>
      </c>
      <c r="R46" s="32">
        <v>102912</v>
      </c>
      <c r="S46" s="36">
        <v>1</v>
      </c>
      <c r="T46" s="54">
        <v>44200</v>
      </c>
      <c r="U46" s="89">
        <v>44223</v>
      </c>
      <c r="V46" s="89"/>
      <c r="W46" s="41"/>
      <c r="X46" s="89"/>
      <c r="Y46" s="89"/>
      <c r="Z46" s="32"/>
      <c r="AA46" s="35"/>
      <c r="AB46" s="36"/>
      <c r="AC46" s="89"/>
      <c r="AD46" s="270">
        <f t="shared" si="1"/>
        <v>102912</v>
      </c>
      <c r="AE46" s="38">
        <f t="shared" si="2"/>
        <v>102912</v>
      </c>
    </row>
    <row r="47" spans="2:31" s="26" customFormat="1" ht="13.5" customHeight="1" x14ac:dyDescent="0.25">
      <c r="B47" s="278">
        <v>36</v>
      </c>
      <c r="C47" s="276" t="s">
        <v>39</v>
      </c>
      <c r="D47" s="28" t="s">
        <v>935</v>
      </c>
      <c r="E47" s="277" t="s">
        <v>936</v>
      </c>
      <c r="F47" s="30" t="s">
        <v>147</v>
      </c>
      <c r="G47" s="30" t="s">
        <v>847</v>
      </c>
      <c r="H47" s="42" t="s">
        <v>921</v>
      </c>
      <c r="I47" s="274" t="s">
        <v>57</v>
      </c>
      <c r="J47" s="271">
        <v>9113946</v>
      </c>
      <c r="K47" s="31">
        <v>146940</v>
      </c>
      <c r="L47" s="31">
        <v>6516735</v>
      </c>
      <c r="M47" s="160"/>
      <c r="N47" s="160"/>
      <c r="O47" s="160"/>
      <c r="P47" s="31"/>
      <c r="Q47" s="31">
        <f t="shared" si="3"/>
        <v>0</v>
      </c>
      <c r="R47" s="32">
        <v>337802</v>
      </c>
      <c r="S47" s="36">
        <v>1</v>
      </c>
      <c r="T47" s="54">
        <v>44200</v>
      </c>
      <c r="U47" s="89">
        <v>44223</v>
      </c>
      <c r="V47" s="32">
        <v>15000</v>
      </c>
      <c r="W47" s="35">
        <v>13</v>
      </c>
      <c r="X47" s="41">
        <v>44221</v>
      </c>
      <c r="Y47" s="89">
        <v>44249</v>
      </c>
      <c r="Z47" s="32"/>
      <c r="AA47" s="35"/>
      <c r="AB47" s="41"/>
      <c r="AC47" s="89"/>
      <c r="AD47" s="270">
        <f t="shared" si="1"/>
        <v>352802</v>
      </c>
      <c r="AE47" s="38">
        <f t="shared" si="2"/>
        <v>352802</v>
      </c>
    </row>
    <row r="48" spans="2:31" s="26" customFormat="1" ht="13.5" customHeight="1" x14ac:dyDescent="0.25">
      <c r="B48" s="276">
        <v>37</v>
      </c>
      <c r="C48" s="276" t="s">
        <v>39</v>
      </c>
      <c r="D48" s="28" t="s">
        <v>937</v>
      </c>
      <c r="E48" s="277" t="s">
        <v>938</v>
      </c>
      <c r="F48" s="30" t="s">
        <v>147</v>
      </c>
      <c r="G48" s="30" t="s">
        <v>847</v>
      </c>
      <c r="H48" s="42" t="s">
        <v>939</v>
      </c>
      <c r="I48" s="274" t="s">
        <v>57</v>
      </c>
      <c r="J48" s="271">
        <v>28699842</v>
      </c>
      <c r="K48" s="31">
        <v>10243</v>
      </c>
      <c r="L48" s="31">
        <v>22779393</v>
      </c>
      <c r="M48" s="160">
        <v>96539</v>
      </c>
      <c r="N48" s="160"/>
      <c r="O48" s="160">
        <v>86</v>
      </c>
      <c r="P48" s="31"/>
      <c r="Q48" s="31">
        <f t="shared" si="3"/>
        <v>96625</v>
      </c>
      <c r="R48" s="32">
        <v>100000</v>
      </c>
      <c r="S48" s="36">
        <v>1</v>
      </c>
      <c r="T48" s="54">
        <v>44200</v>
      </c>
      <c r="U48" s="89">
        <v>44223</v>
      </c>
      <c r="V48" s="32">
        <v>170000</v>
      </c>
      <c r="W48" s="35">
        <v>13</v>
      </c>
      <c r="X48" s="41">
        <v>44221</v>
      </c>
      <c r="Y48" s="89">
        <v>44249</v>
      </c>
      <c r="Z48" s="32"/>
      <c r="AA48" s="35"/>
      <c r="AB48" s="41"/>
      <c r="AC48" s="89"/>
      <c r="AD48" s="270">
        <f t="shared" si="1"/>
        <v>270000</v>
      </c>
      <c r="AE48" s="38">
        <f t="shared" si="2"/>
        <v>173375</v>
      </c>
    </row>
    <row r="49" spans="2:31" s="26" customFormat="1" ht="13.5" customHeight="1" x14ac:dyDescent="0.25">
      <c r="B49" s="278">
        <v>38</v>
      </c>
      <c r="C49" s="276" t="s">
        <v>39</v>
      </c>
      <c r="D49" s="28" t="s">
        <v>940</v>
      </c>
      <c r="E49" s="277" t="s">
        <v>941</v>
      </c>
      <c r="F49" s="30" t="s">
        <v>147</v>
      </c>
      <c r="G49" s="30" t="s">
        <v>847</v>
      </c>
      <c r="H49" s="42" t="s">
        <v>921</v>
      </c>
      <c r="I49" s="274" t="s">
        <v>57</v>
      </c>
      <c r="J49" s="271">
        <v>469545</v>
      </c>
      <c r="K49" s="31">
        <v>23620</v>
      </c>
      <c r="L49" s="31">
        <v>0</v>
      </c>
      <c r="M49" s="160"/>
      <c r="N49" s="160">
        <v>81750</v>
      </c>
      <c r="O49" s="160"/>
      <c r="P49" s="31"/>
      <c r="Q49" s="31">
        <f t="shared" si="3"/>
        <v>81750</v>
      </c>
      <c r="R49" s="32">
        <v>81750</v>
      </c>
      <c r="S49" s="36">
        <v>1</v>
      </c>
      <c r="T49" s="54">
        <v>44200</v>
      </c>
      <c r="U49" s="89">
        <v>44223</v>
      </c>
      <c r="V49" s="32"/>
      <c r="W49" s="35"/>
      <c r="X49" s="36"/>
      <c r="Y49" s="89"/>
      <c r="Z49" s="32"/>
      <c r="AA49" s="35"/>
      <c r="AB49" s="36"/>
      <c r="AC49" s="89"/>
      <c r="AD49" s="270">
        <f t="shared" si="1"/>
        <v>81750</v>
      </c>
      <c r="AE49" s="38">
        <f t="shared" si="2"/>
        <v>0</v>
      </c>
    </row>
    <row r="50" spans="2:31" s="26" customFormat="1" ht="13.5" customHeight="1" x14ac:dyDescent="0.25">
      <c r="B50" s="276">
        <v>39</v>
      </c>
      <c r="C50" s="276" t="s">
        <v>39</v>
      </c>
      <c r="D50" s="28" t="s">
        <v>942</v>
      </c>
      <c r="E50" s="277" t="s">
        <v>943</v>
      </c>
      <c r="F50" s="30" t="s">
        <v>147</v>
      </c>
      <c r="G50" s="30" t="s">
        <v>847</v>
      </c>
      <c r="H50" s="42" t="s">
        <v>939</v>
      </c>
      <c r="I50" s="274" t="s">
        <v>57</v>
      </c>
      <c r="J50" s="271">
        <v>2571601</v>
      </c>
      <c r="K50" s="31">
        <v>514560</v>
      </c>
      <c r="L50" s="31">
        <v>0</v>
      </c>
      <c r="M50" s="160">
        <f>1792+181046</f>
        <v>182838</v>
      </c>
      <c r="N50" s="160">
        <v>324389</v>
      </c>
      <c r="O50" s="160">
        <f>507+3583</f>
        <v>4090</v>
      </c>
      <c r="P50" s="31"/>
      <c r="Q50" s="31">
        <f t="shared" si="3"/>
        <v>511317</v>
      </c>
      <c r="R50" s="32">
        <v>815968</v>
      </c>
      <c r="S50" s="36">
        <v>1</v>
      </c>
      <c r="T50" s="54">
        <v>44200</v>
      </c>
      <c r="U50" s="89">
        <v>44223</v>
      </c>
      <c r="V50" s="32"/>
      <c r="W50" s="35"/>
      <c r="X50" s="36"/>
      <c r="Y50" s="89"/>
      <c r="Z50" s="32"/>
      <c r="AA50" s="35"/>
      <c r="AB50" s="36"/>
      <c r="AC50" s="89"/>
      <c r="AD50" s="270">
        <f t="shared" si="1"/>
        <v>815968</v>
      </c>
      <c r="AE50" s="38">
        <f t="shared" si="2"/>
        <v>304651</v>
      </c>
    </row>
    <row r="51" spans="2:31" s="26" customFormat="1" ht="13.5" customHeight="1" x14ac:dyDescent="0.25">
      <c r="B51" s="278">
        <v>40</v>
      </c>
      <c r="C51" s="276" t="s">
        <v>39</v>
      </c>
      <c r="D51" s="28" t="s">
        <v>944</v>
      </c>
      <c r="E51" s="277" t="s">
        <v>945</v>
      </c>
      <c r="F51" s="30" t="s">
        <v>147</v>
      </c>
      <c r="G51" s="30" t="s">
        <v>847</v>
      </c>
      <c r="H51" s="42" t="s">
        <v>893</v>
      </c>
      <c r="I51" s="274" t="s">
        <v>72</v>
      </c>
      <c r="J51" s="271">
        <v>8491459</v>
      </c>
      <c r="K51" s="31">
        <v>4249</v>
      </c>
      <c r="L51" s="31">
        <v>7358814</v>
      </c>
      <c r="M51" s="160"/>
      <c r="N51" s="160"/>
      <c r="O51" s="160">
        <f>11467+60380</f>
        <v>71847</v>
      </c>
      <c r="P51" s="31"/>
      <c r="Q51" s="31">
        <f t="shared" si="3"/>
        <v>71847</v>
      </c>
      <c r="R51" s="32">
        <v>340800</v>
      </c>
      <c r="S51" s="36">
        <v>1</v>
      </c>
      <c r="T51" s="54">
        <v>44200</v>
      </c>
      <c r="U51" s="89">
        <v>44223</v>
      </c>
      <c r="V51" s="32">
        <v>200000</v>
      </c>
      <c r="W51" s="35">
        <v>17</v>
      </c>
      <c r="X51" s="41">
        <v>44242</v>
      </c>
      <c r="Y51" s="89">
        <v>44271</v>
      </c>
      <c r="Z51" s="32"/>
      <c r="AA51" s="35"/>
      <c r="AB51" s="41"/>
      <c r="AC51" s="89"/>
      <c r="AD51" s="270">
        <f t="shared" si="1"/>
        <v>540800</v>
      </c>
      <c r="AE51" s="38">
        <f t="shared" si="2"/>
        <v>468953</v>
      </c>
    </row>
    <row r="52" spans="2:31" s="26" customFormat="1" ht="13.5" customHeight="1" x14ac:dyDescent="0.25">
      <c r="B52" s="276">
        <v>41</v>
      </c>
      <c r="C52" s="276" t="s">
        <v>39</v>
      </c>
      <c r="D52" s="28" t="s">
        <v>946</v>
      </c>
      <c r="E52" s="277" t="s">
        <v>947</v>
      </c>
      <c r="F52" s="30" t="s">
        <v>147</v>
      </c>
      <c r="G52" s="30" t="s">
        <v>847</v>
      </c>
      <c r="H52" s="42" t="s">
        <v>893</v>
      </c>
      <c r="I52" s="274" t="s">
        <v>57</v>
      </c>
      <c r="J52" s="271">
        <v>3291323</v>
      </c>
      <c r="K52" s="31">
        <v>3108758</v>
      </c>
      <c r="L52" s="31">
        <v>0</v>
      </c>
      <c r="M52" s="160">
        <f>3800+9559</f>
        <v>13359</v>
      </c>
      <c r="N52" s="160"/>
      <c r="O52" s="160"/>
      <c r="P52" s="31"/>
      <c r="Q52" s="31">
        <f t="shared" si="3"/>
        <v>13359</v>
      </c>
      <c r="R52" s="32">
        <v>13359</v>
      </c>
      <c r="S52" s="36">
        <v>1</v>
      </c>
      <c r="T52" s="54">
        <v>44200</v>
      </c>
      <c r="U52" s="89">
        <v>44223</v>
      </c>
      <c r="V52" s="32"/>
      <c r="W52" s="35"/>
      <c r="X52" s="36"/>
      <c r="Y52" s="89"/>
      <c r="Z52" s="32"/>
      <c r="AA52" s="35"/>
      <c r="AB52" s="36"/>
      <c r="AC52" s="89"/>
      <c r="AD52" s="270">
        <f t="shared" si="1"/>
        <v>13359</v>
      </c>
      <c r="AE52" s="38">
        <f t="shared" si="2"/>
        <v>0</v>
      </c>
    </row>
    <row r="53" spans="2:31" s="26" customFormat="1" ht="13.5" customHeight="1" x14ac:dyDescent="0.25">
      <c r="B53" s="278">
        <v>42</v>
      </c>
      <c r="C53" s="276" t="s">
        <v>39</v>
      </c>
      <c r="D53" s="28" t="s">
        <v>948</v>
      </c>
      <c r="E53" s="277" t="s">
        <v>949</v>
      </c>
      <c r="F53" s="30" t="s">
        <v>147</v>
      </c>
      <c r="G53" s="30" t="s">
        <v>847</v>
      </c>
      <c r="H53" s="42" t="s">
        <v>893</v>
      </c>
      <c r="I53" s="274" t="s">
        <v>72</v>
      </c>
      <c r="J53" s="271">
        <v>974613</v>
      </c>
      <c r="K53" s="31">
        <v>0</v>
      </c>
      <c r="L53" s="31">
        <v>738522</v>
      </c>
      <c r="M53" s="160"/>
      <c r="N53" s="160"/>
      <c r="O53" s="160"/>
      <c r="P53" s="31"/>
      <c r="Q53" s="31">
        <f t="shared" si="3"/>
        <v>0</v>
      </c>
      <c r="R53" s="32">
        <v>52002</v>
      </c>
      <c r="S53" s="36">
        <v>1</v>
      </c>
      <c r="T53" s="54">
        <v>44200</v>
      </c>
      <c r="U53" s="89">
        <v>44223</v>
      </c>
      <c r="V53" s="32"/>
      <c r="W53" s="35"/>
      <c r="X53" s="36"/>
      <c r="Y53" s="89"/>
      <c r="Z53" s="32"/>
      <c r="AA53" s="35"/>
      <c r="AB53" s="36"/>
      <c r="AC53" s="89"/>
      <c r="AD53" s="270">
        <f t="shared" si="1"/>
        <v>52002</v>
      </c>
      <c r="AE53" s="38">
        <f t="shared" si="2"/>
        <v>52002</v>
      </c>
    </row>
    <row r="54" spans="2:31" s="26" customFormat="1" ht="13.5" customHeight="1" x14ac:dyDescent="0.25">
      <c r="B54" s="276">
        <v>43</v>
      </c>
      <c r="C54" s="276" t="s">
        <v>39</v>
      </c>
      <c r="D54" s="28" t="s">
        <v>950</v>
      </c>
      <c r="E54" s="277" t="s">
        <v>951</v>
      </c>
      <c r="F54" s="30" t="s">
        <v>147</v>
      </c>
      <c r="G54" s="30" t="s">
        <v>847</v>
      </c>
      <c r="H54" s="42" t="s">
        <v>893</v>
      </c>
      <c r="I54" s="274" t="s">
        <v>72</v>
      </c>
      <c r="J54" s="271">
        <v>477264</v>
      </c>
      <c r="K54" s="31">
        <v>0</v>
      </c>
      <c r="L54" s="31">
        <v>0</v>
      </c>
      <c r="M54" s="160"/>
      <c r="N54" s="160"/>
      <c r="O54" s="160"/>
      <c r="P54" s="31"/>
      <c r="Q54" s="31">
        <f t="shared" si="3"/>
        <v>0</v>
      </c>
      <c r="R54" s="32">
        <v>61002</v>
      </c>
      <c r="S54" s="36">
        <v>1</v>
      </c>
      <c r="T54" s="54">
        <v>44200</v>
      </c>
      <c r="U54" s="89">
        <v>44223</v>
      </c>
      <c r="V54" s="32"/>
      <c r="W54" s="35"/>
      <c r="X54" s="36"/>
      <c r="Y54" s="89"/>
      <c r="Z54" s="32"/>
      <c r="AA54" s="35"/>
      <c r="AB54" s="36"/>
      <c r="AC54" s="89"/>
      <c r="AD54" s="270">
        <f t="shared" si="1"/>
        <v>61002</v>
      </c>
      <c r="AE54" s="38">
        <f t="shared" si="2"/>
        <v>61002</v>
      </c>
    </row>
    <row r="55" spans="2:31" s="26" customFormat="1" ht="13.5" customHeight="1" x14ac:dyDescent="0.25">
      <c r="B55" s="278">
        <v>44</v>
      </c>
      <c r="C55" s="276" t="s">
        <v>39</v>
      </c>
      <c r="D55" s="28" t="s">
        <v>952</v>
      </c>
      <c r="E55" s="277" t="s">
        <v>953</v>
      </c>
      <c r="F55" s="30" t="s">
        <v>147</v>
      </c>
      <c r="G55" s="30" t="s">
        <v>847</v>
      </c>
      <c r="H55" s="42" t="s">
        <v>893</v>
      </c>
      <c r="I55" s="274" t="s">
        <v>57</v>
      </c>
      <c r="J55" s="271">
        <v>3858633</v>
      </c>
      <c r="K55" s="31">
        <v>426795</v>
      </c>
      <c r="L55" s="31">
        <v>1864043</v>
      </c>
      <c r="M55" s="160">
        <v>125596</v>
      </c>
      <c r="N55" s="160">
        <v>3278</v>
      </c>
      <c r="O55" s="160">
        <v>505962</v>
      </c>
      <c r="P55" s="31"/>
      <c r="Q55" s="31">
        <f t="shared" si="3"/>
        <v>634836</v>
      </c>
      <c r="R55" s="32">
        <v>315000</v>
      </c>
      <c r="S55" s="36">
        <v>1</v>
      </c>
      <c r="T55" s="54">
        <v>44200</v>
      </c>
      <c r="U55" s="89">
        <v>44223</v>
      </c>
      <c r="V55" s="32">
        <v>200000</v>
      </c>
      <c r="W55" s="35">
        <v>17</v>
      </c>
      <c r="X55" s="41">
        <v>44242</v>
      </c>
      <c r="Y55" s="89">
        <v>44271</v>
      </c>
      <c r="Z55" s="32"/>
      <c r="AA55" s="35"/>
      <c r="AB55" s="41"/>
      <c r="AC55" s="89"/>
      <c r="AD55" s="270">
        <f t="shared" si="1"/>
        <v>515000</v>
      </c>
      <c r="AE55" s="38">
        <f t="shared" si="2"/>
        <v>-119836</v>
      </c>
    </row>
    <row r="56" spans="2:31" s="26" customFormat="1" ht="13.5" customHeight="1" x14ac:dyDescent="0.25">
      <c r="B56" s="276">
        <v>45</v>
      </c>
      <c r="C56" s="276" t="s">
        <v>39</v>
      </c>
      <c r="D56" s="28" t="s">
        <v>954</v>
      </c>
      <c r="E56" s="277" t="s">
        <v>955</v>
      </c>
      <c r="F56" s="30" t="s">
        <v>193</v>
      </c>
      <c r="G56" s="30" t="s">
        <v>847</v>
      </c>
      <c r="H56" s="42" t="s">
        <v>900</v>
      </c>
      <c r="I56" s="274" t="s">
        <v>72</v>
      </c>
      <c r="J56" s="271">
        <v>103809</v>
      </c>
      <c r="K56" s="31">
        <v>0</v>
      </c>
      <c r="L56" s="31">
        <v>0</v>
      </c>
      <c r="M56" s="160">
        <v>19832</v>
      </c>
      <c r="N56" s="160">
        <v>1992</v>
      </c>
      <c r="O56" s="160">
        <v>19832</v>
      </c>
      <c r="P56" s="31"/>
      <c r="Q56" s="31">
        <f t="shared" si="3"/>
        <v>41656</v>
      </c>
      <c r="R56" s="32">
        <v>68507</v>
      </c>
      <c r="S56" s="36">
        <v>1</v>
      </c>
      <c r="T56" s="54">
        <v>44200</v>
      </c>
      <c r="U56" s="89">
        <v>44223</v>
      </c>
      <c r="V56" s="32">
        <v>2000</v>
      </c>
      <c r="W56" s="35">
        <v>11</v>
      </c>
      <c r="X56" s="41">
        <v>44221</v>
      </c>
      <c r="Y56" s="89">
        <v>44246</v>
      </c>
      <c r="Z56" s="32"/>
      <c r="AA56" s="35"/>
      <c r="AB56" s="41"/>
      <c r="AC56" s="89"/>
      <c r="AD56" s="270">
        <f t="shared" si="1"/>
        <v>70507</v>
      </c>
      <c r="AE56" s="38">
        <f t="shared" si="2"/>
        <v>28851</v>
      </c>
    </row>
    <row r="57" spans="2:31" s="26" customFormat="1" ht="13.5" customHeight="1" x14ac:dyDescent="0.25">
      <c r="B57" s="278">
        <v>46</v>
      </c>
      <c r="C57" s="276" t="s">
        <v>39</v>
      </c>
      <c r="D57" s="28" t="s">
        <v>956</v>
      </c>
      <c r="E57" s="277" t="s">
        <v>957</v>
      </c>
      <c r="F57" s="30" t="s">
        <v>147</v>
      </c>
      <c r="G57" s="30" t="s">
        <v>847</v>
      </c>
      <c r="H57" s="42" t="s">
        <v>915</v>
      </c>
      <c r="I57" s="274" t="s">
        <v>57</v>
      </c>
      <c r="J57" s="271">
        <v>729067</v>
      </c>
      <c r="K57" s="31">
        <v>602391</v>
      </c>
      <c r="L57" s="31">
        <v>0</v>
      </c>
      <c r="M57" s="160">
        <v>63815</v>
      </c>
      <c r="N57" s="160"/>
      <c r="O57" s="160"/>
      <c r="P57" s="31"/>
      <c r="Q57" s="31">
        <f t="shared" si="3"/>
        <v>63815</v>
      </c>
      <c r="R57" s="32">
        <v>65816</v>
      </c>
      <c r="S57" s="36">
        <v>1</v>
      </c>
      <c r="T57" s="54">
        <v>44200</v>
      </c>
      <c r="U57" s="89">
        <v>44223</v>
      </c>
      <c r="V57" s="89"/>
      <c r="W57" s="41"/>
      <c r="X57" s="89"/>
      <c r="Y57" s="89"/>
      <c r="Z57" s="32"/>
      <c r="AA57" s="35"/>
      <c r="AB57" s="36"/>
      <c r="AC57" s="89"/>
      <c r="AD57" s="270">
        <f t="shared" si="1"/>
        <v>65816</v>
      </c>
      <c r="AE57" s="38">
        <f t="shared" si="2"/>
        <v>2001</v>
      </c>
    </row>
    <row r="58" spans="2:31" s="26" customFormat="1" ht="13.5" customHeight="1" x14ac:dyDescent="0.25">
      <c r="B58" s="276">
        <v>47</v>
      </c>
      <c r="C58" s="276" t="s">
        <v>39</v>
      </c>
      <c r="D58" s="28" t="s">
        <v>958</v>
      </c>
      <c r="E58" s="277" t="s">
        <v>959</v>
      </c>
      <c r="F58" s="30" t="s">
        <v>147</v>
      </c>
      <c r="G58" s="30" t="s">
        <v>847</v>
      </c>
      <c r="H58" s="42" t="s">
        <v>915</v>
      </c>
      <c r="I58" s="274" t="s">
        <v>57</v>
      </c>
      <c r="J58" s="271">
        <v>1192459</v>
      </c>
      <c r="K58" s="31">
        <v>997421</v>
      </c>
      <c r="L58" s="31">
        <v>0</v>
      </c>
      <c r="M58" s="160"/>
      <c r="N58" s="160"/>
      <c r="O58" s="160"/>
      <c r="P58" s="31"/>
      <c r="Q58" s="31">
        <f t="shared" si="3"/>
        <v>0</v>
      </c>
      <c r="R58" s="32">
        <v>189038</v>
      </c>
      <c r="S58" s="36">
        <v>1</v>
      </c>
      <c r="T58" s="54">
        <v>44200</v>
      </c>
      <c r="U58" s="89">
        <v>44223</v>
      </c>
      <c r="V58" s="89"/>
      <c r="W58" s="41"/>
      <c r="X58" s="89"/>
      <c r="Y58" s="89"/>
      <c r="Z58" s="32"/>
      <c r="AA58" s="35"/>
      <c r="AB58" s="36"/>
      <c r="AC58" s="89"/>
      <c r="AD58" s="270">
        <f t="shared" si="1"/>
        <v>189038</v>
      </c>
      <c r="AE58" s="38">
        <f t="shared" si="2"/>
        <v>189038</v>
      </c>
    </row>
    <row r="59" spans="2:31" s="26" customFormat="1" ht="13.5" customHeight="1" x14ac:dyDescent="0.25">
      <c r="B59" s="278">
        <v>48</v>
      </c>
      <c r="C59" s="276" t="s">
        <v>39</v>
      </c>
      <c r="D59" s="28" t="s">
        <v>960</v>
      </c>
      <c r="E59" s="277" t="s">
        <v>961</v>
      </c>
      <c r="F59" s="30" t="s">
        <v>147</v>
      </c>
      <c r="G59" s="30" t="s">
        <v>847</v>
      </c>
      <c r="H59" s="42" t="s">
        <v>915</v>
      </c>
      <c r="I59" s="274" t="s">
        <v>72</v>
      </c>
      <c r="J59" s="271">
        <v>731640</v>
      </c>
      <c r="K59" s="31">
        <v>0</v>
      </c>
      <c r="L59" s="31">
        <v>406845</v>
      </c>
      <c r="M59" s="160"/>
      <c r="N59" s="160"/>
      <c r="O59" s="160"/>
      <c r="P59" s="31"/>
      <c r="Q59" s="31">
        <f t="shared" si="3"/>
        <v>0</v>
      </c>
      <c r="R59" s="32">
        <v>2</v>
      </c>
      <c r="S59" s="36">
        <v>1</v>
      </c>
      <c r="T59" s="54">
        <v>44200</v>
      </c>
      <c r="U59" s="89">
        <v>44223</v>
      </c>
      <c r="V59" s="89"/>
      <c r="W59" s="41"/>
      <c r="X59" s="89"/>
      <c r="Y59" s="89"/>
      <c r="Z59" s="32"/>
      <c r="AA59" s="35"/>
      <c r="AB59" s="36"/>
      <c r="AC59" s="89"/>
      <c r="AD59" s="270">
        <f t="shared" si="1"/>
        <v>2</v>
      </c>
      <c r="AE59" s="38">
        <f t="shared" si="2"/>
        <v>2</v>
      </c>
    </row>
    <row r="60" spans="2:31" s="26" customFormat="1" ht="13.5" customHeight="1" x14ac:dyDescent="0.25">
      <c r="B60" s="276">
        <v>49</v>
      </c>
      <c r="C60" s="276" t="s">
        <v>39</v>
      </c>
      <c r="D60" s="28" t="s">
        <v>962</v>
      </c>
      <c r="E60" s="277" t="s">
        <v>963</v>
      </c>
      <c r="F60" s="30" t="s">
        <v>147</v>
      </c>
      <c r="G60" s="30" t="s">
        <v>847</v>
      </c>
      <c r="H60" s="42" t="s">
        <v>915</v>
      </c>
      <c r="I60" s="274" t="s">
        <v>72</v>
      </c>
      <c r="J60" s="271">
        <v>964227</v>
      </c>
      <c r="K60" s="31">
        <v>0</v>
      </c>
      <c r="L60" s="31">
        <v>383158</v>
      </c>
      <c r="M60" s="160"/>
      <c r="N60" s="160"/>
      <c r="O60" s="160"/>
      <c r="P60" s="31"/>
      <c r="Q60" s="31">
        <f t="shared" si="3"/>
        <v>0</v>
      </c>
      <c r="R60" s="32">
        <v>2</v>
      </c>
      <c r="S60" s="36">
        <v>1</v>
      </c>
      <c r="T60" s="54">
        <v>44200</v>
      </c>
      <c r="U60" s="89">
        <v>44223</v>
      </c>
      <c r="V60" s="89"/>
      <c r="W60" s="41"/>
      <c r="X60" s="89"/>
      <c r="Y60" s="89"/>
      <c r="Z60" s="32"/>
      <c r="AA60" s="35"/>
      <c r="AB60" s="36"/>
      <c r="AC60" s="89"/>
      <c r="AD60" s="270">
        <f t="shared" si="1"/>
        <v>2</v>
      </c>
      <c r="AE60" s="38">
        <f t="shared" si="2"/>
        <v>2</v>
      </c>
    </row>
    <row r="61" spans="2:31" s="26" customFormat="1" ht="13.5" customHeight="1" x14ac:dyDescent="0.25">
      <c r="B61" s="278">
        <v>50</v>
      </c>
      <c r="C61" s="276" t="s">
        <v>39</v>
      </c>
      <c r="D61" s="28" t="s">
        <v>964</v>
      </c>
      <c r="E61" s="277" t="s">
        <v>965</v>
      </c>
      <c r="F61" s="30" t="s">
        <v>147</v>
      </c>
      <c r="G61" s="30" t="s">
        <v>847</v>
      </c>
      <c r="H61" s="42" t="s">
        <v>966</v>
      </c>
      <c r="I61" s="274" t="s">
        <v>57</v>
      </c>
      <c r="J61" s="271">
        <v>173664</v>
      </c>
      <c r="K61" s="31">
        <v>107567</v>
      </c>
      <c r="L61" s="31">
        <v>0</v>
      </c>
      <c r="M61" s="160">
        <v>53498</v>
      </c>
      <c r="N61" s="160"/>
      <c r="O61" s="160"/>
      <c r="P61" s="31"/>
      <c r="Q61" s="31">
        <f t="shared" si="3"/>
        <v>53498</v>
      </c>
      <c r="R61" s="32">
        <v>57267</v>
      </c>
      <c r="S61" s="36">
        <v>1</v>
      </c>
      <c r="T61" s="54">
        <v>44200</v>
      </c>
      <c r="U61" s="89">
        <v>44223</v>
      </c>
      <c r="V61" s="89"/>
      <c r="W61" s="41"/>
      <c r="X61" s="89"/>
      <c r="Y61" s="89"/>
      <c r="Z61" s="32"/>
      <c r="AA61" s="35"/>
      <c r="AB61" s="36"/>
      <c r="AC61" s="89"/>
      <c r="AD61" s="270">
        <f t="shared" si="1"/>
        <v>57267</v>
      </c>
      <c r="AE61" s="38">
        <f t="shared" si="2"/>
        <v>3769</v>
      </c>
    </row>
    <row r="62" spans="2:31" s="26" customFormat="1" ht="13.5" customHeight="1" x14ac:dyDescent="0.25">
      <c r="B62" s="276">
        <v>51</v>
      </c>
      <c r="C62" s="276" t="s">
        <v>39</v>
      </c>
      <c r="D62" s="28" t="s">
        <v>967</v>
      </c>
      <c r="E62" s="277" t="s">
        <v>968</v>
      </c>
      <c r="F62" s="30" t="s">
        <v>147</v>
      </c>
      <c r="G62" s="30" t="s">
        <v>847</v>
      </c>
      <c r="H62" s="42" t="s">
        <v>966</v>
      </c>
      <c r="I62" s="274" t="s">
        <v>57</v>
      </c>
      <c r="J62" s="271">
        <v>6691476</v>
      </c>
      <c r="K62" s="31">
        <v>849028</v>
      </c>
      <c r="L62" s="31">
        <v>0</v>
      </c>
      <c r="M62" s="160">
        <f>3870+1813537</f>
        <v>1817407</v>
      </c>
      <c r="N62" s="160">
        <v>444785</v>
      </c>
      <c r="O62" s="160">
        <f>2580+332567</f>
        <v>335147</v>
      </c>
      <c r="P62" s="31"/>
      <c r="Q62" s="31">
        <f t="shared" si="3"/>
        <v>2597339</v>
      </c>
      <c r="R62" s="32">
        <v>2053870</v>
      </c>
      <c r="S62" s="36">
        <v>1</v>
      </c>
      <c r="T62" s="54">
        <v>44200</v>
      </c>
      <c r="U62" s="89">
        <v>44223</v>
      </c>
      <c r="V62" s="32">
        <v>1003870</v>
      </c>
      <c r="W62" s="35">
        <v>13</v>
      </c>
      <c r="X62" s="41">
        <v>44221</v>
      </c>
      <c r="Y62" s="89">
        <v>44249</v>
      </c>
      <c r="Z62" s="32"/>
      <c r="AA62" s="35"/>
      <c r="AB62" s="41"/>
      <c r="AC62" s="89"/>
      <c r="AD62" s="270">
        <f t="shared" si="1"/>
        <v>3057740</v>
      </c>
      <c r="AE62" s="38">
        <f t="shared" si="2"/>
        <v>460401</v>
      </c>
    </row>
    <row r="63" spans="2:31" s="26" customFormat="1" ht="13.5" customHeight="1" x14ac:dyDescent="0.25">
      <c r="B63" s="278">
        <v>52</v>
      </c>
      <c r="C63" s="276" t="s">
        <v>39</v>
      </c>
      <c r="D63" s="28" t="s">
        <v>969</v>
      </c>
      <c r="E63" s="277" t="s">
        <v>970</v>
      </c>
      <c r="F63" s="30" t="s">
        <v>147</v>
      </c>
      <c r="G63" s="30" t="s">
        <v>847</v>
      </c>
      <c r="H63" s="42" t="s">
        <v>909</v>
      </c>
      <c r="I63" s="274" t="s">
        <v>57</v>
      </c>
      <c r="J63" s="271">
        <v>1391412</v>
      </c>
      <c r="K63" s="31">
        <v>1375192</v>
      </c>
      <c r="L63" s="31">
        <v>0</v>
      </c>
      <c r="M63" s="160"/>
      <c r="N63" s="160"/>
      <c r="O63" s="160">
        <v>13184</v>
      </c>
      <c r="P63" s="31"/>
      <c r="Q63" s="31">
        <f t="shared" si="3"/>
        <v>13184</v>
      </c>
      <c r="R63" s="32">
        <v>16220</v>
      </c>
      <c r="S63" s="36">
        <v>1</v>
      </c>
      <c r="T63" s="54">
        <v>44200</v>
      </c>
      <c r="U63" s="89">
        <v>44223</v>
      </c>
      <c r="V63" s="32"/>
      <c r="W63" s="35"/>
      <c r="X63" s="36"/>
      <c r="Y63" s="89"/>
      <c r="Z63" s="32"/>
      <c r="AA63" s="35"/>
      <c r="AB63" s="36"/>
      <c r="AC63" s="89"/>
      <c r="AD63" s="270">
        <f t="shared" si="1"/>
        <v>16220</v>
      </c>
      <c r="AE63" s="38">
        <f t="shared" si="2"/>
        <v>3036</v>
      </c>
    </row>
    <row r="64" spans="2:31" s="26" customFormat="1" ht="13.5" customHeight="1" x14ac:dyDescent="0.25">
      <c r="B64" s="276">
        <v>53</v>
      </c>
      <c r="C64" s="276" t="s">
        <v>39</v>
      </c>
      <c r="D64" s="28" t="s">
        <v>971</v>
      </c>
      <c r="E64" s="277" t="s">
        <v>972</v>
      </c>
      <c r="F64" s="30" t="s">
        <v>147</v>
      </c>
      <c r="G64" s="30" t="s">
        <v>847</v>
      </c>
      <c r="H64" s="42" t="s">
        <v>909</v>
      </c>
      <c r="I64" s="274" t="s">
        <v>57</v>
      </c>
      <c r="J64" s="271">
        <v>7319283</v>
      </c>
      <c r="K64" s="31">
        <v>6980759</v>
      </c>
      <c r="L64" s="31">
        <v>0</v>
      </c>
      <c r="M64" s="160">
        <f>23324+1220</f>
        <v>24544</v>
      </c>
      <c r="N64" s="160">
        <v>937</v>
      </c>
      <c r="O64" s="160">
        <v>51</v>
      </c>
      <c r="P64" s="31"/>
      <c r="Q64" s="31">
        <f t="shared" si="3"/>
        <v>25532</v>
      </c>
      <c r="R64" s="32">
        <v>227604</v>
      </c>
      <c r="S64" s="36">
        <v>1</v>
      </c>
      <c r="T64" s="54">
        <v>44200</v>
      </c>
      <c r="U64" s="89">
        <v>44223</v>
      </c>
      <c r="V64" s="32"/>
      <c r="W64" s="35"/>
      <c r="X64" s="36"/>
      <c r="Y64" s="89"/>
      <c r="Z64" s="32"/>
      <c r="AA64" s="35"/>
      <c r="AB64" s="36"/>
      <c r="AC64" s="89"/>
      <c r="AD64" s="270">
        <f t="shared" si="1"/>
        <v>227604</v>
      </c>
      <c r="AE64" s="38">
        <f t="shared" si="2"/>
        <v>202072</v>
      </c>
    </row>
    <row r="65" spans="2:31" s="26" customFormat="1" ht="13.5" customHeight="1" x14ac:dyDescent="0.25">
      <c r="B65" s="278">
        <v>54</v>
      </c>
      <c r="C65" s="276" t="s">
        <v>39</v>
      </c>
      <c r="D65" s="28" t="s">
        <v>973</v>
      </c>
      <c r="E65" s="277" t="s">
        <v>974</v>
      </c>
      <c r="F65" s="30" t="s">
        <v>147</v>
      </c>
      <c r="G65" s="30" t="s">
        <v>847</v>
      </c>
      <c r="H65" s="42" t="s">
        <v>975</v>
      </c>
      <c r="I65" s="274" t="s">
        <v>72</v>
      </c>
      <c r="J65" s="271">
        <v>2096917</v>
      </c>
      <c r="K65" s="31">
        <v>0</v>
      </c>
      <c r="L65" s="31">
        <v>2008137</v>
      </c>
      <c r="M65" s="160"/>
      <c r="N65" s="160"/>
      <c r="O65" s="160">
        <v>19084</v>
      </c>
      <c r="P65" s="31"/>
      <c r="Q65" s="31">
        <f t="shared" si="3"/>
        <v>19084</v>
      </c>
      <c r="R65" s="32">
        <v>23000</v>
      </c>
      <c r="S65" s="36">
        <v>1</v>
      </c>
      <c r="T65" s="54">
        <v>44200</v>
      </c>
      <c r="U65" s="89">
        <v>44223</v>
      </c>
      <c r="V65" s="32"/>
      <c r="W65" s="35"/>
      <c r="X65" s="36"/>
      <c r="Y65" s="89"/>
      <c r="Z65" s="32"/>
      <c r="AA65" s="35"/>
      <c r="AB65" s="36"/>
      <c r="AC65" s="89"/>
      <c r="AD65" s="270">
        <f t="shared" si="1"/>
        <v>23000</v>
      </c>
      <c r="AE65" s="38">
        <f t="shared" si="2"/>
        <v>3916</v>
      </c>
    </row>
    <row r="66" spans="2:31" s="26" customFormat="1" ht="13.5" customHeight="1" x14ac:dyDescent="0.25">
      <c r="B66" s="276">
        <v>55</v>
      </c>
      <c r="C66" s="276" t="s">
        <v>39</v>
      </c>
      <c r="D66" s="28" t="s">
        <v>976</v>
      </c>
      <c r="E66" s="277" t="s">
        <v>977</v>
      </c>
      <c r="F66" s="30" t="s">
        <v>147</v>
      </c>
      <c r="G66" s="30" t="s">
        <v>847</v>
      </c>
      <c r="H66" s="42" t="s">
        <v>912</v>
      </c>
      <c r="I66" s="274" t="s">
        <v>57</v>
      </c>
      <c r="J66" s="271">
        <v>10376427</v>
      </c>
      <c r="K66" s="31">
        <v>124285</v>
      </c>
      <c r="L66" s="31">
        <v>2904998</v>
      </c>
      <c r="M66" s="160"/>
      <c r="N66" s="160">
        <v>4356</v>
      </c>
      <c r="O66" s="160">
        <f>4356+230940</f>
        <v>235296</v>
      </c>
      <c r="P66" s="31"/>
      <c r="Q66" s="31">
        <f t="shared" si="3"/>
        <v>239652</v>
      </c>
      <c r="R66" s="32">
        <v>569280</v>
      </c>
      <c r="S66" s="36">
        <v>1</v>
      </c>
      <c r="T66" s="54">
        <v>44200</v>
      </c>
      <c r="U66" s="89">
        <v>44223</v>
      </c>
      <c r="V66" s="32">
        <v>10000</v>
      </c>
      <c r="W66" s="35">
        <v>13</v>
      </c>
      <c r="X66" s="41">
        <v>44221</v>
      </c>
      <c r="Y66" s="89">
        <v>44249</v>
      </c>
      <c r="Z66" s="32"/>
      <c r="AA66" s="35"/>
      <c r="AB66" s="41"/>
      <c r="AC66" s="89"/>
      <c r="AD66" s="270">
        <f t="shared" si="1"/>
        <v>579280</v>
      </c>
      <c r="AE66" s="38">
        <f t="shared" si="2"/>
        <v>339628</v>
      </c>
    </row>
    <row r="67" spans="2:31" s="26" customFormat="1" ht="13.5" customHeight="1" x14ac:dyDescent="0.25">
      <c r="B67" s="278">
        <v>56</v>
      </c>
      <c r="C67" s="276" t="s">
        <v>39</v>
      </c>
      <c r="D67" s="28" t="s">
        <v>978</v>
      </c>
      <c r="E67" s="277" t="s">
        <v>979</v>
      </c>
      <c r="F67" s="30" t="s">
        <v>147</v>
      </c>
      <c r="G67" s="30" t="s">
        <v>847</v>
      </c>
      <c r="H67" s="42" t="s">
        <v>912</v>
      </c>
      <c r="I67" s="274" t="s">
        <v>57</v>
      </c>
      <c r="J67" s="271">
        <v>1374637</v>
      </c>
      <c r="K67" s="31">
        <v>1292774</v>
      </c>
      <c r="L67" s="31">
        <v>0</v>
      </c>
      <c r="M67" s="160"/>
      <c r="N67" s="160">
        <v>659</v>
      </c>
      <c r="O67" s="160">
        <f>1474+892</f>
        <v>2366</v>
      </c>
      <c r="P67" s="31"/>
      <c r="Q67" s="31">
        <f t="shared" si="3"/>
        <v>3025</v>
      </c>
      <c r="R67" s="32">
        <v>81863</v>
      </c>
      <c r="S67" s="36">
        <v>1</v>
      </c>
      <c r="T67" s="54">
        <v>44200</v>
      </c>
      <c r="U67" s="89">
        <v>44223</v>
      </c>
      <c r="V67" s="32"/>
      <c r="W67" s="35"/>
      <c r="X67" s="36"/>
      <c r="Y67" s="89"/>
      <c r="Z67" s="32"/>
      <c r="AA67" s="35"/>
      <c r="AB67" s="36"/>
      <c r="AC67" s="89"/>
      <c r="AD67" s="270">
        <f t="shared" si="1"/>
        <v>81863</v>
      </c>
      <c r="AE67" s="38">
        <f t="shared" si="2"/>
        <v>78838</v>
      </c>
    </row>
    <row r="68" spans="2:31" s="26" customFormat="1" ht="13.5" customHeight="1" x14ac:dyDescent="0.25">
      <c r="B68" s="276">
        <v>57</v>
      </c>
      <c r="C68" s="276" t="s">
        <v>39</v>
      </c>
      <c r="D68" s="28" t="s">
        <v>980</v>
      </c>
      <c r="E68" s="277" t="s">
        <v>981</v>
      </c>
      <c r="F68" s="30" t="s">
        <v>147</v>
      </c>
      <c r="G68" s="30" t="s">
        <v>847</v>
      </c>
      <c r="H68" s="42" t="s">
        <v>884</v>
      </c>
      <c r="I68" s="274" t="s">
        <v>57</v>
      </c>
      <c r="J68" s="271">
        <v>205922</v>
      </c>
      <c r="K68" s="31">
        <v>25607</v>
      </c>
      <c r="L68" s="31">
        <v>0</v>
      </c>
      <c r="M68" s="160">
        <f>2250+63178</f>
        <v>65428</v>
      </c>
      <c r="N68" s="160"/>
      <c r="O68" s="160">
        <v>2250</v>
      </c>
      <c r="P68" s="31"/>
      <c r="Q68" s="31">
        <f t="shared" si="3"/>
        <v>67678</v>
      </c>
      <c r="R68" s="32">
        <v>103375</v>
      </c>
      <c r="S68" s="36">
        <v>1</v>
      </c>
      <c r="T68" s="54">
        <v>44200</v>
      </c>
      <c r="U68" s="89">
        <v>44223</v>
      </c>
      <c r="V68" s="32">
        <v>26290</v>
      </c>
      <c r="W68" s="35">
        <v>24</v>
      </c>
      <c r="X68" s="41">
        <v>44263</v>
      </c>
      <c r="Y68" s="89">
        <v>44284</v>
      </c>
      <c r="Z68" s="32"/>
      <c r="AA68" s="35"/>
      <c r="AB68" s="41"/>
      <c r="AC68" s="89"/>
      <c r="AD68" s="270">
        <f t="shared" si="1"/>
        <v>129665</v>
      </c>
      <c r="AE68" s="38">
        <f t="shared" si="2"/>
        <v>61987</v>
      </c>
    </row>
    <row r="69" spans="2:31" s="26" customFormat="1" ht="13.5" customHeight="1" x14ac:dyDescent="0.25">
      <c r="B69" s="278">
        <v>58</v>
      </c>
      <c r="C69" s="276" t="s">
        <v>39</v>
      </c>
      <c r="D69" s="28" t="s">
        <v>982</v>
      </c>
      <c r="E69" s="277" t="s">
        <v>983</v>
      </c>
      <c r="F69" s="30" t="s">
        <v>193</v>
      </c>
      <c r="G69" s="30" t="s">
        <v>847</v>
      </c>
      <c r="H69" s="42" t="s">
        <v>893</v>
      </c>
      <c r="I69" s="274" t="s">
        <v>72</v>
      </c>
      <c r="J69" s="271">
        <v>11254189</v>
      </c>
      <c r="K69" s="31">
        <v>0</v>
      </c>
      <c r="L69" s="31">
        <v>11135152</v>
      </c>
      <c r="M69" s="160"/>
      <c r="N69" s="160"/>
      <c r="O69" s="160"/>
      <c r="P69" s="31"/>
      <c r="Q69" s="31">
        <f t="shared" si="3"/>
        <v>0</v>
      </c>
      <c r="R69" s="32">
        <v>1</v>
      </c>
      <c r="S69" s="36">
        <v>1</v>
      </c>
      <c r="T69" s="54">
        <v>44200</v>
      </c>
      <c r="U69" s="89">
        <v>44223</v>
      </c>
      <c r="V69" s="32"/>
      <c r="W69" s="35"/>
      <c r="X69" s="36"/>
      <c r="Y69" s="89"/>
      <c r="Z69" s="32"/>
      <c r="AA69" s="35"/>
      <c r="AB69" s="36"/>
      <c r="AC69" s="89"/>
      <c r="AD69" s="270">
        <f t="shared" si="1"/>
        <v>1</v>
      </c>
      <c r="AE69" s="38">
        <f t="shared" si="2"/>
        <v>1</v>
      </c>
    </row>
    <row r="70" spans="2:31" s="26" customFormat="1" ht="13.5" customHeight="1" x14ac:dyDescent="0.25">
      <c r="B70" s="276">
        <v>59</v>
      </c>
      <c r="C70" s="276" t="s">
        <v>39</v>
      </c>
      <c r="D70" s="28" t="s">
        <v>984</v>
      </c>
      <c r="E70" s="277" t="s">
        <v>985</v>
      </c>
      <c r="F70" s="30" t="s">
        <v>147</v>
      </c>
      <c r="G70" s="30" t="s">
        <v>847</v>
      </c>
      <c r="H70" s="42" t="s">
        <v>863</v>
      </c>
      <c r="I70" s="274" t="s">
        <v>72</v>
      </c>
      <c r="J70" s="271">
        <v>591240</v>
      </c>
      <c r="K70" s="31">
        <v>0</v>
      </c>
      <c r="L70" s="31">
        <v>24528</v>
      </c>
      <c r="M70" s="160"/>
      <c r="N70" s="160">
        <f>1612+96578</f>
        <v>98190</v>
      </c>
      <c r="O70" s="160"/>
      <c r="P70" s="31"/>
      <c r="Q70" s="31">
        <f t="shared" si="3"/>
        <v>98190</v>
      </c>
      <c r="R70" s="32">
        <v>75151</v>
      </c>
      <c r="S70" s="36">
        <v>1</v>
      </c>
      <c r="T70" s="54">
        <v>44200</v>
      </c>
      <c r="U70" s="89">
        <v>44223</v>
      </c>
      <c r="V70" s="32">
        <v>103438</v>
      </c>
      <c r="W70" s="35">
        <v>3</v>
      </c>
      <c r="X70" s="41">
        <v>44202</v>
      </c>
      <c r="Y70" s="89">
        <v>44231</v>
      </c>
      <c r="Z70" s="32"/>
      <c r="AA70" s="35"/>
      <c r="AB70" s="41"/>
      <c r="AC70" s="89"/>
      <c r="AD70" s="270">
        <f t="shared" si="1"/>
        <v>178589</v>
      </c>
      <c r="AE70" s="38">
        <f t="shared" si="2"/>
        <v>80399</v>
      </c>
    </row>
    <row r="71" spans="2:31" s="26" customFormat="1" ht="13.5" customHeight="1" x14ac:dyDescent="0.25">
      <c r="B71" s="278">
        <v>60</v>
      </c>
      <c r="C71" s="276" t="s">
        <v>39</v>
      </c>
      <c r="D71" s="28" t="s">
        <v>986</v>
      </c>
      <c r="E71" s="277" t="s">
        <v>987</v>
      </c>
      <c r="F71" s="30" t="s">
        <v>147</v>
      </c>
      <c r="G71" s="30" t="s">
        <v>847</v>
      </c>
      <c r="H71" s="42" t="s">
        <v>900</v>
      </c>
      <c r="I71" s="110" t="s">
        <v>57</v>
      </c>
      <c r="J71" s="271">
        <v>444083</v>
      </c>
      <c r="K71" s="31">
        <v>75118</v>
      </c>
      <c r="L71" s="31">
        <v>0</v>
      </c>
      <c r="M71" s="160">
        <v>170144</v>
      </c>
      <c r="N71" s="160"/>
      <c r="O71" s="160"/>
      <c r="P71" s="31"/>
      <c r="Q71" s="31">
        <f t="shared" si="3"/>
        <v>170144</v>
      </c>
      <c r="R71" s="32">
        <v>278166</v>
      </c>
      <c r="S71" s="36">
        <v>2</v>
      </c>
      <c r="T71" s="54">
        <v>44200</v>
      </c>
      <c r="U71" s="89">
        <v>44224</v>
      </c>
      <c r="V71" s="32"/>
      <c r="W71" s="35"/>
      <c r="X71" s="36"/>
      <c r="Y71" s="89"/>
      <c r="Z71" s="32"/>
      <c r="AA71" s="35"/>
      <c r="AB71" s="36"/>
      <c r="AC71" s="89"/>
      <c r="AD71" s="270">
        <f t="shared" si="1"/>
        <v>278166</v>
      </c>
      <c r="AE71" s="38">
        <f t="shared" si="2"/>
        <v>108022</v>
      </c>
    </row>
    <row r="72" spans="2:31" s="26" customFormat="1" ht="13.5" customHeight="1" x14ac:dyDescent="0.25">
      <c r="B72" s="276">
        <v>61</v>
      </c>
      <c r="C72" s="276" t="s">
        <v>39</v>
      </c>
      <c r="D72" s="28" t="s">
        <v>988</v>
      </c>
      <c r="E72" s="277" t="s">
        <v>989</v>
      </c>
      <c r="F72" s="30" t="s">
        <v>147</v>
      </c>
      <c r="G72" s="30" t="s">
        <v>847</v>
      </c>
      <c r="H72" s="42" t="s">
        <v>939</v>
      </c>
      <c r="I72" s="110" t="s">
        <v>57</v>
      </c>
      <c r="J72" s="271">
        <v>5055141</v>
      </c>
      <c r="K72" s="31">
        <v>4981794</v>
      </c>
      <c r="L72" s="31">
        <v>0</v>
      </c>
      <c r="M72" s="160"/>
      <c r="N72" s="160"/>
      <c r="O72" s="160"/>
      <c r="P72" s="31"/>
      <c r="Q72" s="31">
        <f t="shared" si="3"/>
        <v>0</v>
      </c>
      <c r="R72" s="32">
        <v>71733</v>
      </c>
      <c r="S72" s="36">
        <v>2</v>
      </c>
      <c r="T72" s="54">
        <v>44200</v>
      </c>
      <c r="U72" s="89">
        <v>44224</v>
      </c>
      <c r="V72" s="32"/>
      <c r="W72" s="35"/>
      <c r="X72" s="36"/>
      <c r="Y72" s="89"/>
      <c r="Z72" s="32"/>
      <c r="AA72" s="35"/>
      <c r="AB72" s="36"/>
      <c r="AC72" s="89"/>
      <c r="AD72" s="270">
        <f t="shared" si="1"/>
        <v>71733</v>
      </c>
      <c r="AE72" s="38">
        <f t="shared" si="2"/>
        <v>71733</v>
      </c>
    </row>
    <row r="73" spans="2:31" s="26" customFormat="1" ht="13.5" customHeight="1" x14ac:dyDescent="0.25">
      <c r="B73" s="278">
        <v>62</v>
      </c>
      <c r="C73" s="276" t="s">
        <v>39</v>
      </c>
      <c r="D73" s="28" t="s">
        <v>990</v>
      </c>
      <c r="E73" s="277" t="s">
        <v>991</v>
      </c>
      <c r="F73" s="30" t="s">
        <v>147</v>
      </c>
      <c r="G73" s="30" t="s">
        <v>847</v>
      </c>
      <c r="H73" s="42" t="s">
        <v>939</v>
      </c>
      <c r="I73" s="110" t="s">
        <v>72</v>
      </c>
      <c r="J73" s="271">
        <v>111420</v>
      </c>
      <c r="K73" s="31">
        <v>48592</v>
      </c>
      <c r="L73" s="31">
        <v>0</v>
      </c>
      <c r="M73" s="160"/>
      <c r="N73" s="160"/>
      <c r="O73" s="160"/>
      <c r="P73" s="31"/>
      <c r="Q73" s="31">
        <f t="shared" si="3"/>
        <v>0</v>
      </c>
      <c r="R73" s="32">
        <v>13924</v>
      </c>
      <c r="S73" s="36">
        <v>2</v>
      </c>
      <c r="T73" s="54">
        <v>44200</v>
      </c>
      <c r="U73" s="89">
        <v>44224</v>
      </c>
      <c r="V73" s="32"/>
      <c r="W73" s="35"/>
      <c r="X73" s="36"/>
      <c r="Y73" s="89"/>
      <c r="Z73" s="32"/>
      <c r="AA73" s="35"/>
      <c r="AB73" s="36"/>
      <c r="AC73" s="89"/>
      <c r="AD73" s="270">
        <f t="shared" si="1"/>
        <v>13924</v>
      </c>
      <c r="AE73" s="38">
        <f t="shared" si="2"/>
        <v>13924</v>
      </c>
    </row>
    <row r="74" spans="2:31" s="26" customFormat="1" ht="13.5" customHeight="1" x14ac:dyDescent="0.25">
      <c r="B74" s="276">
        <v>63</v>
      </c>
      <c r="C74" s="276" t="s">
        <v>39</v>
      </c>
      <c r="D74" s="28" t="s">
        <v>992</v>
      </c>
      <c r="E74" s="277" t="s">
        <v>993</v>
      </c>
      <c r="F74" s="30" t="s">
        <v>147</v>
      </c>
      <c r="G74" s="30" t="s">
        <v>847</v>
      </c>
      <c r="H74" s="42" t="s">
        <v>893</v>
      </c>
      <c r="I74" s="110" t="s">
        <v>72</v>
      </c>
      <c r="J74" s="271">
        <v>2747319</v>
      </c>
      <c r="K74" s="31">
        <v>1031</v>
      </c>
      <c r="L74" s="31">
        <v>1170882</v>
      </c>
      <c r="M74" s="160"/>
      <c r="N74" s="160"/>
      <c r="O74" s="160"/>
      <c r="P74" s="31"/>
      <c r="Q74" s="31">
        <f t="shared" si="3"/>
        <v>0</v>
      </c>
      <c r="R74" s="32">
        <v>167490</v>
      </c>
      <c r="S74" s="36">
        <v>2</v>
      </c>
      <c r="T74" s="54">
        <v>44200</v>
      </c>
      <c r="U74" s="89">
        <v>44224</v>
      </c>
      <c r="V74" s="32">
        <v>1406869</v>
      </c>
      <c r="W74" s="35">
        <v>8</v>
      </c>
      <c r="X74" s="41">
        <v>44214</v>
      </c>
      <c r="Y74" s="89">
        <v>44246</v>
      </c>
      <c r="Z74" s="32"/>
      <c r="AA74" s="35"/>
      <c r="AB74" s="41"/>
      <c r="AC74" s="89"/>
      <c r="AD74" s="270">
        <f t="shared" si="1"/>
        <v>1574359</v>
      </c>
      <c r="AE74" s="38">
        <f>+AD74-Q74</f>
        <v>1574359</v>
      </c>
    </row>
    <row r="75" spans="2:31" s="26" customFormat="1" ht="13.5" customHeight="1" x14ac:dyDescent="0.25">
      <c r="B75" s="278">
        <v>64</v>
      </c>
      <c r="C75" s="276" t="s">
        <v>39</v>
      </c>
      <c r="D75" s="28" t="s">
        <v>994</v>
      </c>
      <c r="E75" s="277" t="s">
        <v>995</v>
      </c>
      <c r="F75" s="30" t="s">
        <v>147</v>
      </c>
      <c r="G75" s="30" t="s">
        <v>847</v>
      </c>
      <c r="H75" s="42" t="s">
        <v>884</v>
      </c>
      <c r="I75" s="110" t="s">
        <v>57</v>
      </c>
      <c r="J75" s="271">
        <v>830014</v>
      </c>
      <c r="K75" s="31">
        <v>624725</v>
      </c>
      <c r="L75" s="31">
        <v>0</v>
      </c>
      <c r="M75" s="160">
        <v>205288</v>
      </c>
      <c r="N75" s="160"/>
      <c r="O75" s="160"/>
      <c r="P75" s="31"/>
      <c r="Q75" s="31">
        <f t="shared" si="3"/>
        <v>205288</v>
      </c>
      <c r="R75" s="32">
        <v>205289</v>
      </c>
      <c r="S75" s="36">
        <v>2</v>
      </c>
      <c r="T75" s="54">
        <v>44200</v>
      </c>
      <c r="U75" s="89">
        <v>44224</v>
      </c>
      <c r="V75" s="32"/>
      <c r="W75" s="35"/>
      <c r="X75" s="36"/>
      <c r="Y75" s="89"/>
      <c r="Z75" s="32"/>
      <c r="AA75" s="35"/>
      <c r="AB75" s="36"/>
      <c r="AC75" s="89"/>
      <c r="AD75" s="270">
        <f t="shared" si="1"/>
        <v>205289</v>
      </c>
      <c r="AE75" s="38">
        <f t="shared" si="2"/>
        <v>1</v>
      </c>
    </row>
    <row r="76" spans="2:31" s="26" customFormat="1" ht="13.5" customHeight="1" x14ac:dyDescent="0.25">
      <c r="B76" s="276">
        <v>65</v>
      </c>
      <c r="C76" s="276" t="s">
        <v>39</v>
      </c>
      <c r="D76" s="28" t="s">
        <v>996</v>
      </c>
      <c r="E76" s="277" t="s">
        <v>997</v>
      </c>
      <c r="F76" s="30" t="s">
        <v>147</v>
      </c>
      <c r="G76" s="30" t="s">
        <v>847</v>
      </c>
      <c r="H76" s="42" t="s">
        <v>552</v>
      </c>
      <c r="I76" s="110" t="s">
        <v>57</v>
      </c>
      <c r="J76" s="271">
        <v>3923117</v>
      </c>
      <c r="K76" s="31">
        <v>3746816</v>
      </c>
      <c r="L76" s="31">
        <v>0</v>
      </c>
      <c r="M76" s="160"/>
      <c r="N76" s="160"/>
      <c r="O76" s="160"/>
      <c r="P76" s="31"/>
      <c r="Q76" s="31">
        <f t="shared" ref="Q76:Q107" si="4">SUM(M76:P76)</f>
        <v>0</v>
      </c>
      <c r="R76" s="32">
        <v>50000</v>
      </c>
      <c r="S76" s="36">
        <v>2</v>
      </c>
      <c r="T76" s="54">
        <v>44200</v>
      </c>
      <c r="U76" s="89">
        <v>44224</v>
      </c>
      <c r="V76" s="32">
        <v>7772</v>
      </c>
      <c r="W76" s="35">
        <v>12</v>
      </c>
      <c r="X76" s="41">
        <v>44221</v>
      </c>
      <c r="Y76" s="89">
        <v>44263</v>
      </c>
      <c r="Z76" s="32"/>
      <c r="AA76" s="35"/>
      <c r="AB76" s="41"/>
      <c r="AC76" s="89"/>
      <c r="AD76" s="270">
        <f t="shared" si="1"/>
        <v>57772</v>
      </c>
      <c r="AE76" s="38">
        <f t="shared" si="2"/>
        <v>57772</v>
      </c>
    </row>
    <row r="77" spans="2:31" s="26" customFormat="1" ht="13.5" customHeight="1" x14ac:dyDescent="0.25">
      <c r="B77" s="276">
        <v>66</v>
      </c>
      <c r="C77" s="276" t="s">
        <v>39</v>
      </c>
      <c r="D77" s="276" t="s">
        <v>998</v>
      </c>
      <c r="E77" s="279" t="s">
        <v>999</v>
      </c>
      <c r="F77" s="30" t="s">
        <v>193</v>
      </c>
      <c r="G77" s="30" t="s">
        <v>847</v>
      </c>
      <c r="H77" s="30" t="s">
        <v>863</v>
      </c>
      <c r="I77" s="110" t="s">
        <v>57</v>
      </c>
      <c r="J77" s="271">
        <v>101683</v>
      </c>
      <c r="K77" s="31">
        <v>30982</v>
      </c>
      <c r="L77" s="31">
        <v>0</v>
      </c>
      <c r="M77" s="160">
        <v>40400</v>
      </c>
      <c r="N77" s="160"/>
      <c r="O77" s="160"/>
      <c r="P77" s="31"/>
      <c r="Q77" s="31">
        <f t="shared" si="4"/>
        <v>40400</v>
      </c>
      <c r="R77" s="32">
        <v>70700</v>
      </c>
      <c r="S77" s="36">
        <v>3</v>
      </c>
      <c r="T77" s="89">
        <v>44202</v>
      </c>
      <c r="U77" s="89">
        <v>44231</v>
      </c>
      <c r="V77" s="32"/>
      <c r="W77" s="35"/>
      <c r="X77" s="36"/>
      <c r="Y77" s="89"/>
      <c r="Z77" s="32"/>
      <c r="AA77" s="35"/>
      <c r="AB77" s="36"/>
      <c r="AC77" s="89"/>
      <c r="AD77" s="270">
        <f t="shared" ref="AD77:AD140" si="5">+R77+V77+Z77</f>
        <v>70700</v>
      </c>
      <c r="AE77" s="38">
        <f t="shared" ref="AE77:AE140" si="6">+AD77-Q77</f>
        <v>30300</v>
      </c>
    </row>
    <row r="78" spans="2:31" s="26" customFormat="1" ht="13.5" customHeight="1" x14ac:dyDescent="0.25">
      <c r="B78" s="276">
        <v>67</v>
      </c>
      <c r="C78" s="276" t="s">
        <v>39</v>
      </c>
      <c r="D78" s="276" t="s">
        <v>1000</v>
      </c>
      <c r="E78" s="279" t="s">
        <v>1001</v>
      </c>
      <c r="F78" s="30" t="s">
        <v>147</v>
      </c>
      <c r="G78" s="30" t="s">
        <v>847</v>
      </c>
      <c r="H78" s="30" t="s">
        <v>868</v>
      </c>
      <c r="I78" s="110" t="s">
        <v>57</v>
      </c>
      <c r="J78" s="271">
        <v>1678558</v>
      </c>
      <c r="K78" s="31">
        <v>540319</v>
      </c>
      <c r="L78" s="31">
        <v>0</v>
      </c>
      <c r="M78" s="160">
        <f>943+12017</f>
        <v>12960</v>
      </c>
      <c r="N78" s="160"/>
      <c r="O78" s="160">
        <v>943</v>
      </c>
      <c r="P78" s="31"/>
      <c r="Q78" s="31">
        <f t="shared" si="4"/>
        <v>13903</v>
      </c>
      <c r="R78" s="32">
        <v>14849</v>
      </c>
      <c r="S78" s="36">
        <v>3</v>
      </c>
      <c r="T78" s="89">
        <v>44202</v>
      </c>
      <c r="U78" s="89">
        <v>44231</v>
      </c>
      <c r="V78" s="32">
        <v>7100</v>
      </c>
      <c r="W78" s="35">
        <v>11</v>
      </c>
      <c r="X78" s="41">
        <v>44221</v>
      </c>
      <c r="Y78" s="89">
        <v>44246</v>
      </c>
      <c r="Z78" s="32"/>
      <c r="AA78" s="35"/>
      <c r="AB78" s="41"/>
      <c r="AC78" s="89"/>
      <c r="AD78" s="270">
        <f t="shared" si="5"/>
        <v>21949</v>
      </c>
      <c r="AE78" s="38">
        <f t="shared" si="6"/>
        <v>8046</v>
      </c>
    </row>
    <row r="79" spans="2:31" s="26" customFormat="1" ht="13.5" customHeight="1" x14ac:dyDescent="0.25">
      <c r="B79" s="276">
        <v>68</v>
      </c>
      <c r="C79" s="276" t="s">
        <v>39</v>
      </c>
      <c r="D79" s="276" t="s">
        <v>1002</v>
      </c>
      <c r="E79" s="279" t="s">
        <v>1003</v>
      </c>
      <c r="F79" s="30" t="s">
        <v>193</v>
      </c>
      <c r="G79" s="30" t="s">
        <v>847</v>
      </c>
      <c r="H79" s="30" t="s">
        <v>868</v>
      </c>
      <c r="I79" s="110" t="s">
        <v>57</v>
      </c>
      <c r="J79" s="271">
        <v>291792</v>
      </c>
      <c r="K79" s="31">
        <v>195707</v>
      </c>
      <c r="L79" s="31">
        <v>0</v>
      </c>
      <c r="M79" s="160">
        <v>56290</v>
      </c>
      <c r="N79" s="160"/>
      <c r="O79" s="160"/>
      <c r="P79" s="31"/>
      <c r="Q79" s="31">
        <f t="shared" si="4"/>
        <v>56290</v>
      </c>
      <c r="R79" s="32">
        <v>56621</v>
      </c>
      <c r="S79" s="36">
        <v>3</v>
      </c>
      <c r="T79" s="89">
        <v>44202</v>
      </c>
      <c r="U79" s="89">
        <v>44231</v>
      </c>
      <c r="V79" s="89"/>
      <c r="W79" s="89"/>
      <c r="X79" s="89"/>
      <c r="Y79" s="89"/>
      <c r="Z79" s="32"/>
      <c r="AA79" s="35"/>
      <c r="AB79" s="36"/>
      <c r="AC79" s="89"/>
      <c r="AD79" s="270">
        <f t="shared" si="5"/>
        <v>56621</v>
      </c>
      <c r="AE79" s="38">
        <f t="shared" si="6"/>
        <v>331</v>
      </c>
    </row>
    <row r="80" spans="2:31" s="26" customFormat="1" ht="13.5" customHeight="1" x14ac:dyDescent="0.25">
      <c r="B80" s="276">
        <v>69</v>
      </c>
      <c r="C80" s="276" t="s">
        <v>39</v>
      </c>
      <c r="D80" s="276" t="s">
        <v>1004</v>
      </c>
      <c r="E80" s="279" t="s">
        <v>1005</v>
      </c>
      <c r="F80" s="30" t="s">
        <v>147</v>
      </c>
      <c r="G80" s="30" t="s">
        <v>847</v>
      </c>
      <c r="H80" s="30" t="s">
        <v>871</v>
      </c>
      <c r="I80" s="110" t="s">
        <v>57</v>
      </c>
      <c r="J80" s="271">
        <v>320509</v>
      </c>
      <c r="K80" s="31">
        <v>139069</v>
      </c>
      <c r="L80" s="31">
        <v>0</v>
      </c>
      <c r="M80" s="160"/>
      <c r="N80" s="160">
        <f>3000+55500</f>
        <v>58500</v>
      </c>
      <c r="O80" s="160">
        <v>37090</v>
      </c>
      <c r="P80" s="31"/>
      <c r="Q80" s="31">
        <f t="shared" si="4"/>
        <v>95590</v>
      </c>
      <c r="R80" s="32">
        <v>178961</v>
      </c>
      <c r="S80" s="36">
        <v>3</v>
      </c>
      <c r="T80" s="89">
        <v>44202</v>
      </c>
      <c r="U80" s="89">
        <v>44231</v>
      </c>
      <c r="V80" s="89"/>
      <c r="W80" s="89"/>
      <c r="X80" s="89"/>
      <c r="Y80" s="89"/>
      <c r="Z80" s="32"/>
      <c r="AA80" s="35"/>
      <c r="AB80" s="36"/>
      <c r="AC80" s="89"/>
      <c r="AD80" s="270">
        <f t="shared" si="5"/>
        <v>178961</v>
      </c>
      <c r="AE80" s="38">
        <f t="shared" si="6"/>
        <v>83371</v>
      </c>
    </row>
    <row r="81" spans="2:31" s="26" customFormat="1" ht="13.5" customHeight="1" x14ac:dyDescent="0.25">
      <c r="B81" s="276">
        <v>70</v>
      </c>
      <c r="C81" s="276" t="s">
        <v>39</v>
      </c>
      <c r="D81" s="276" t="s">
        <v>1006</v>
      </c>
      <c r="E81" s="279" t="s">
        <v>1007</v>
      </c>
      <c r="F81" s="30" t="s">
        <v>193</v>
      </c>
      <c r="G81" s="30" t="s">
        <v>847</v>
      </c>
      <c r="H81" s="42" t="s">
        <v>871</v>
      </c>
      <c r="I81" s="110" t="s">
        <v>57</v>
      </c>
      <c r="J81" s="271">
        <v>19907</v>
      </c>
      <c r="K81" s="31">
        <v>7069</v>
      </c>
      <c r="L81" s="31">
        <v>0</v>
      </c>
      <c r="M81" s="160"/>
      <c r="N81" s="160"/>
      <c r="O81" s="160"/>
      <c r="P81" s="31"/>
      <c r="Q81" s="31">
        <f t="shared" si="4"/>
        <v>0</v>
      </c>
      <c r="R81" s="32">
        <v>5925</v>
      </c>
      <c r="S81" s="36">
        <v>3</v>
      </c>
      <c r="T81" s="89">
        <v>44202</v>
      </c>
      <c r="U81" s="89">
        <v>44231</v>
      </c>
      <c r="V81" s="89"/>
      <c r="W81" s="89"/>
      <c r="X81" s="89"/>
      <c r="Y81" s="89"/>
      <c r="Z81" s="32"/>
      <c r="AA81" s="35"/>
      <c r="AB81" s="36"/>
      <c r="AC81" s="89"/>
      <c r="AD81" s="270">
        <f t="shared" si="5"/>
        <v>5925</v>
      </c>
      <c r="AE81" s="38">
        <f t="shared" si="6"/>
        <v>5925</v>
      </c>
    </row>
    <row r="82" spans="2:31" s="26" customFormat="1" ht="13.5" customHeight="1" x14ac:dyDescent="0.25">
      <c r="B82" s="276">
        <v>71</v>
      </c>
      <c r="C82" s="276" t="s">
        <v>39</v>
      </c>
      <c r="D82" s="276" t="s">
        <v>1008</v>
      </c>
      <c r="E82" s="279" t="s">
        <v>1009</v>
      </c>
      <c r="F82" s="30" t="s">
        <v>147</v>
      </c>
      <c r="G82" s="30" t="s">
        <v>847</v>
      </c>
      <c r="H82" s="42" t="s">
        <v>863</v>
      </c>
      <c r="I82" s="274" t="s">
        <v>72</v>
      </c>
      <c r="J82" s="271">
        <v>193667</v>
      </c>
      <c r="K82" s="31">
        <v>0</v>
      </c>
      <c r="L82" s="31">
        <v>0</v>
      </c>
      <c r="M82" s="160"/>
      <c r="N82" s="160">
        <v>189406</v>
      </c>
      <c r="O82" s="160"/>
      <c r="P82" s="31"/>
      <c r="Q82" s="31">
        <f t="shared" si="4"/>
        <v>189406</v>
      </c>
      <c r="R82" s="32">
        <v>189406</v>
      </c>
      <c r="S82" s="36">
        <v>3</v>
      </c>
      <c r="T82" s="89">
        <v>44202</v>
      </c>
      <c r="U82" s="89">
        <v>44231</v>
      </c>
      <c r="V82" s="89"/>
      <c r="W82" s="89"/>
      <c r="X82" s="89"/>
      <c r="Y82" s="89"/>
      <c r="Z82" s="32"/>
      <c r="AA82" s="35"/>
      <c r="AB82" s="36"/>
      <c r="AC82" s="89"/>
      <c r="AD82" s="270">
        <f t="shared" si="5"/>
        <v>189406</v>
      </c>
      <c r="AE82" s="38">
        <f t="shared" si="6"/>
        <v>0</v>
      </c>
    </row>
    <row r="83" spans="2:31" s="26" customFormat="1" ht="13.5" customHeight="1" x14ac:dyDescent="0.25">
      <c r="B83" s="276">
        <v>72</v>
      </c>
      <c r="C83" s="276" t="s">
        <v>39</v>
      </c>
      <c r="D83" s="276" t="s">
        <v>1010</v>
      </c>
      <c r="E83" s="279" t="s">
        <v>1011</v>
      </c>
      <c r="F83" s="30" t="s">
        <v>147</v>
      </c>
      <c r="G83" s="30" t="s">
        <v>847</v>
      </c>
      <c r="H83" s="42" t="s">
        <v>975</v>
      </c>
      <c r="I83" s="274" t="s">
        <v>72</v>
      </c>
      <c r="J83" s="271">
        <v>150824</v>
      </c>
      <c r="K83" s="31">
        <v>0</v>
      </c>
      <c r="L83" s="31">
        <v>0</v>
      </c>
      <c r="M83" s="160"/>
      <c r="N83" s="160">
        <v>147506</v>
      </c>
      <c r="O83" s="160"/>
      <c r="P83" s="31"/>
      <c r="Q83" s="31">
        <f t="shared" si="4"/>
        <v>147506</v>
      </c>
      <c r="R83" s="32">
        <v>147506</v>
      </c>
      <c r="S83" s="36">
        <v>3</v>
      </c>
      <c r="T83" s="89">
        <v>44202</v>
      </c>
      <c r="U83" s="89">
        <v>44231</v>
      </c>
      <c r="V83" s="89"/>
      <c r="W83" s="89"/>
      <c r="X83" s="89"/>
      <c r="Y83" s="89"/>
      <c r="Z83" s="32"/>
      <c r="AA83" s="35"/>
      <c r="AB83" s="36"/>
      <c r="AC83" s="89"/>
      <c r="AD83" s="270">
        <f t="shared" si="5"/>
        <v>147506</v>
      </c>
      <c r="AE83" s="38">
        <f t="shared" si="6"/>
        <v>0</v>
      </c>
    </row>
    <row r="84" spans="2:31" s="26" customFormat="1" ht="13.5" customHeight="1" x14ac:dyDescent="0.25">
      <c r="B84" s="276">
        <v>73</v>
      </c>
      <c r="C84" s="276" t="s">
        <v>39</v>
      </c>
      <c r="D84" s="276" t="s">
        <v>1012</v>
      </c>
      <c r="E84" s="279" t="s">
        <v>1013</v>
      </c>
      <c r="F84" s="30" t="s">
        <v>147</v>
      </c>
      <c r="G84" s="30" t="s">
        <v>847</v>
      </c>
      <c r="H84" s="42" t="s">
        <v>900</v>
      </c>
      <c r="I84" s="274" t="s">
        <v>72</v>
      </c>
      <c r="J84" s="271">
        <v>117661</v>
      </c>
      <c r="K84" s="31">
        <v>0</v>
      </c>
      <c r="L84" s="31">
        <v>0</v>
      </c>
      <c r="M84" s="160"/>
      <c r="N84" s="160">
        <v>115072</v>
      </c>
      <c r="O84" s="160"/>
      <c r="P84" s="31"/>
      <c r="Q84" s="31">
        <f t="shared" si="4"/>
        <v>115072</v>
      </c>
      <c r="R84" s="32">
        <v>115072</v>
      </c>
      <c r="S84" s="36">
        <v>3</v>
      </c>
      <c r="T84" s="89">
        <v>44202</v>
      </c>
      <c r="U84" s="89">
        <v>44231</v>
      </c>
      <c r="V84" s="89"/>
      <c r="W84" s="89"/>
      <c r="X84" s="89"/>
      <c r="Y84" s="89"/>
      <c r="Z84" s="32"/>
      <c r="AA84" s="35"/>
      <c r="AB84" s="36"/>
      <c r="AC84" s="89"/>
      <c r="AD84" s="270">
        <f t="shared" si="5"/>
        <v>115072</v>
      </c>
      <c r="AE84" s="38">
        <f t="shared" si="6"/>
        <v>0</v>
      </c>
    </row>
    <row r="85" spans="2:31" s="26" customFormat="1" ht="13.5" customHeight="1" x14ac:dyDescent="0.25">
      <c r="B85" s="276">
        <v>74</v>
      </c>
      <c r="C85" s="276" t="s">
        <v>39</v>
      </c>
      <c r="D85" s="276" t="s">
        <v>1014</v>
      </c>
      <c r="E85" s="279" t="s">
        <v>1015</v>
      </c>
      <c r="F85" s="30" t="s">
        <v>147</v>
      </c>
      <c r="G85" s="30" t="s">
        <v>847</v>
      </c>
      <c r="H85" s="42" t="s">
        <v>939</v>
      </c>
      <c r="I85" s="274" t="s">
        <v>72</v>
      </c>
      <c r="J85" s="271">
        <v>204810</v>
      </c>
      <c r="K85" s="31">
        <v>0</v>
      </c>
      <c r="L85" s="31">
        <v>0</v>
      </c>
      <c r="M85" s="160"/>
      <c r="N85" s="160">
        <v>200303</v>
      </c>
      <c r="O85" s="160"/>
      <c r="P85" s="31"/>
      <c r="Q85" s="31">
        <f t="shared" si="4"/>
        <v>200303</v>
      </c>
      <c r="R85" s="32">
        <v>202303</v>
      </c>
      <c r="S85" s="36">
        <v>3</v>
      </c>
      <c r="T85" s="89">
        <v>44202</v>
      </c>
      <c r="U85" s="89">
        <v>44231</v>
      </c>
      <c r="V85" s="89"/>
      <c r="W85" s="89"/>
      <c r="X85" s="89"/>
      <c r="Y85" s="89"/>
      <c r="Z85" s="32"/>
      <c r="AA85" s="35"/>
      <c r="AB85" s="36"/>
      <c r="AC85" s="89"/>
      <c r="AD85" s="270">
        <f t="shared" si="5"/>
        <v>202303</v>
      </c>
      <c r="AE85" s="38">
        <f t="shared" si="6"/>
        <v>2000</v>
      </c>
    </row>
    <row r="86" spans="2:31" s="26" customFormat="1" ht="13.5" customHeight="1" x14ac:dyDescent="0.25">
      <c r="B86" s="276">
        <v>75</v>
      </c>
      <c r="C86" s="276" t="s">
        <v>39</v>
      </c>
      <c r="D86" s="276" t="s">
        <v>1016</v>
      </c>
      <c r="E86" s="279" t="s">
        <v>1017</v>
      </c>
      <c r="F86" s="30" t="s">
        <v>147</v>
      </c>
      <c r="G86" s="30" t="s">
        <v>847</v>
      </c>
      <c r="H86" s="42" t="s">
        <v>966</v>
      </c>
      <c r="I86" s="274" t="s">
        <v>72</v>
      </c>
      <c r="J86" s="271">
        <v>435323</v>
      </c>
      <c r="K86" s="31">
        <v>0</v>
      </c>
      <c r="L86" s="31">
        <v>0</v>
      </c>
      <c r="M86" s="160"/>
      <c r="N86" s="160"/>
      <c r="O86" s="160"/>
      <c r="P86" s="31"/>
      <c r="Q86" s="31">
        <f t="shared" si="4"/>
        <v>0</v>
      </c>
      <c r="R86" s="32">
        <v>410108</v>
      </c>
      <c r="S86" s="36">
        <v>3</v>
      </c>
      <c r="T86" s="89">
        <v>44202</v>
      </c>
      <c r="U86" s="89">
        <v>44231</v>
      </c>
      <c r="V86" s="89"/>
      <c r="W86" s="89"/>
      <c r="X86" s="89"/>
      <c r="Y86" s="89"/>
      <c r="Z86" s="32"/>
      <c r="AA86" s="35"/>
      <c r="AB86" s="36"/>
      <c r="AC86" s="89"/>
      <c r="AD86" s="270">
        <f t="shared" si="5"/>
        <v>410108</v>
      </c>
      <c r="AE86" s="38">
        <f t="shared" si="6"/>
        <v>410108</v>
      </c>
    </row>
    <row r="87" spans="2:31" s="26" customFormat="1" ht="13.5" customHeight="1" x14ac:dyDescent="0.25">
      <c r="B87" s="276">
        <v>76</v>
      </c>
      <c r="C87" s="276" t="s">
        <v>39</v>
      </c>
      <c r="D87" s="276" t="s">
        <v>1018</v>
      </c>
      <c r="E87" s="279" t="s">
        <v>1019</v>
      </c>
      <c r="F87" s="30" t="s">
        <v>147</v>
      </c>
      <c r="G87" s="30" t="s">
        <v>847</v>
      </c>
      <c r="H87" s="42" t="s">
        <v>848</v>
      </c>
      <c r="I87" s="110" t="s">
        <v>57</v>
      </c>
      <c r="J87" s="271">
        <v>573690</v>
      </c>
      <c r="K87" s="31">
        <v>48548</v>
      </c>
      <c r="L87" s="31">
        <v>0</v>
      </c>
      <c r="M87" s="160"/>
      <c r="N87" s="160"/>
      <c r="O87" s="160"/>
      <c r="P87" s="31"/>
      <c r="Q87" s="31">
        <f t="shared" si="4"/>
        <v>0</v>
      </c>
      <c r="R87" s="32">
        <v>52000</v>
      </c>
      <c r="S87" s="36">
        <v>3</v>
      </c>
      <c r="T87" s="89">
        <v>44202</v>
      </c>
      <c r="U87" s="89">
        <v>44231</v>
      </c>
      <c r="V87" s="89"/>
      <c r="W87" s="89"/>
      <c r="X87" s="89"/>
      <c r="Y87" s="89"/>
      <c r="Z87" s="32"/>
      <c r="AA87" s="35"/>
      <c r="AB87" s="36"/>
      <c r="AC87" s="89"/>
      <c r="AD87" s="270">
        <f t="shared" si="5"/>
        <v>52000</v>
      </c>
      <c r="AE87" s="38">
        <f t="shared" si="6"/>
        <v>52000</v>
      </c>
    </row>
    <row r="88" spans="2:31" s="26" customFormat="1" ht="13.5" customHeight="1" x14ac:dyDescent="0.25">
      <c r="B88" s="276">
        <v>77</v>
      </c>
      <c r="C88" s="276" t="s">
        <v>39</v>
      </c>
      <c r="D88" s="276" t="s">
        <v>1020</v>
      </c>
      <c r="E88" s="279" t="s">
        <v>1021</v>
      </c>
      <c r="F88" s="30" t="s">
        <v>147</v>
      </c>
      <c r="G88" s="30" t="s">
        <v>847</v>
      </c>
      <c r="H88" s="42" t="s">
        <v>848</v>
      </c>
      <c r="I88" s="274" t="s">
        <v>72</v>
      </c>
      <c r="J88" s="271">
        <v>650792</v>
      </c>
      <c r="K88" s="31">
        <v>0</v>
      </c>
      <c r="L88" s="31">
        <v>0</v>
      </c>
      <c r="M88" s="160"/>
      <c r="N88" s="160"/>
      <c r="O88" s="160"/>
      <c r="P88" s="31"/>
      <c r="Q88" s="31">
        <f t="shared" si="4"/>
        <v>0</v>
      </c>
      <c r="R88" s="32">
        <v>200000</v>
      </c>
      <c r="S88" s="36">
        <v>3</v>
      </c>
      <c r="T88" s="89">
        <v>44202</v>
      </c>
      <c r="U88" s="89">
        <v>44231</v>
      </c>
      <c r="V88" s="89"/>
      <c r="W88" s="89"/>
      <c r="X88" s="89"/>
      <c r="Y88" s="89"/>
      <c r="Z88" s="32"/>
      <c r="AA88" s="35"/>
      <c r="AB88" s="36"/>
      <c r="AC88" s="89"/>
      <c r="AD88" s="270">
        <f t="shared" si="5"/>
        <v>200000</v>
      </c>
      <c r="AE88" s="38">
        <f t="shared" si="6"/>
        <v>200000</v>
      </c>
    </row>
    <row r="89" spans="2:31" s="26" customFormat="1" ht="13.5" customHeight="1" x14ac:dyDescent="0.25">
      <c r="B89" s="276">
        <v>78</v>
      </c>
      <c r="C89" s="276" t="s">
        <v>39</v>
      </c>
      <c r="D89" s="276" t="s">
        <v>1022</v>
      </c>
      <c r="E89" s="279" t="s">
        <v>1023</v>
      </c>
      <c r="F89" s="30" t="s">
        <v>147</v>
      </c>
      <c r="G89" s="30" t="s">
        <v>847</v>
      </c>
      <c r="H89" s="42" t="s">
        <v>848</v>
      </c>
      <c r="I89" s="274" t="s">
        <v>72</v>
      </c>
      <c r="J89" s="271">
        <v>4237431</v>
      </c>
      <c r="K89" s="31">
        <v>0</v>
      </c>
      <c r="L89" s="31">
        <v>2117489</v>
      </c>
      <c r="M89" s="160"/>
      <c r="N89" s="160"/>
      <c r="O89" s="160">
        <v>27013</v>
      </c>
      <c r="P89" s="31"/>
      <c r="Q89" s="31">
        <f t="shared" si="4"/>
        <v>27013</v>
      </c>
      <c r="R89" s="32">
        <v>154000</v>
      </c>
      <c r="S89" s="36">
        <v>3</v>
      </c>
      <c r="T89" s="89">
        <v>44202</v>
      </c>
      <c r="U89" s="89">
        <v>44231</v>
      </c>
      <c r="V89" s="32">
        <v>600000</v>
      </c>
      <c r="W89" s="35">
        <v>17</v>
      </c>
      <c r="X89" s="41">
        <v>44242</v>
      </c>
      <c r="Y89" s="89">
        <v>44271</v>
      </c>
      <c r="Z89" s="32"/>
      <c r="AA89" s="35"/>
      <c r="AB89" s="41"/>
      <c r="AC89" s="89"/>
      <c r="AD89" s="270">
        <f t="shared" si="5"/>
        <v>754000</v>
      </c>
      <c r="AE89" s="38">
        <f t="shared" si="6"/>
        <v>726987</v>
      </c>
    </row>
    <row r="90" spans="2:31" s="26" customFormat="1" ht="13.5" customHeight="1" x14ac:dyDescent="0.25">
      <c r="B90" s="276">
        <v>79</v>
      </c>
      <c r="C90" s="276" t="s">
        <v>39</v>
      </c>
      <c r="D90" s="276" t="s">
        <v>1024</v>
      </c>
      <c r="E90" s="279" t="s">
        <v>1025</v>
      </c>
      <c r="F90" s="30" t="s">
        <v>147</v>
      </c>
      <c r="G90" s="30" t="s">
        <v>847</v>
      </c>
      <c r="H90" s="42" t="s">
        <v>848</v>
      </c>
      <c r="I90" s="274" t="s">
        <v>72</v>
      </c>
      <c r="J90" s="271">
        <v>1815521</v>
      </c>
      <c r="K90" s="31">
        <v>0</v>
      </c>
      <c r="L90" s="31">
        <v>1210351</v>
      </c>
      <c r="M90" s="160"/>
      <c r="N90" s="160"/>
      <c r="O90" s="160"/>
      <c r="P90" s="31"/>
      <c r="Q90" s="31">
        <f t="shared" si="4"/>
        <v>0</v>
      </c>
      <c r="R90" s="32">
        <v>50000</v>
      </c>
      <c r="S90" s="36">
        <v>3</v>
      </c>
      <c r="T90" s="89">
        <v>44202</v>
      </c>
      <c r="U90" s="89">
        <v>44231</v>
      </c>
      <c r="V90" s="32"/>
      <c r="W90" s="35"/>
      <c r="X90" s="36"/>
      <c r="Y90" s="89"/>
      <c r="Z90" s="32"/>
      <c r="AA90" s="35"/>
      <c r="AB90" s="36"/>
      <c r="AC90" s="89"/>
      <c r="AD90" s="270">
        <f t="shared" si="5"/>
        <v>50000</v>
      </c>
      <c r="AE90" s="38">
        <f t="shared" si="6"/>
        <v>50000</v>
      </c>
    </row>
    <row r="91" spans="2:31" s="26" customFormat="1" ht="13.5" customHeight="1" x14ac:dyDescent="0.25">
      <c r="B91" s="276">
        <v>80</v>
      </c>
      <c r="C91" s="276" t="s">
        <v>39</v>
      </c>
      <c r="D91" s="276" t="s">
        <v>1026</v>
      </c>
      <c r="E91" s="279" t="s">
        <v>1027</v>
      </c>
      <c r="F91" s="30" t="s">
        <v>147</v>
      </c>
      <c r="G91" s="30" t="s">
        <v>847</v>
      </c>
      <c r="H91" s="42" t="s">
        <v>848</v>
      </c>
      <c r="I91" s="274" t="s">
        <v>72</v>
      </c>
      <c r="J91" s="271">
        <v>77873</v>
      </c>
      <c r="K91" s="31">
        <v>0</v>
      </c>
      <c r="L91" s="31">
        <v>0</v>
      </c>
      <c r="M91" s="160"/>
      <c r="N91" s="160"/>
      <c r="O91" s="160"/>
      <c r="P91" s="31"/>
      <c r="Q91" s="31">
        <f t="shared" si="4"/>
        <v>0</v>
      </c>
      <c r="R91" s="32">
        <v>10000</v>
      </c>
      <c r="S91" s="36">
        <v>3</v>
      </c>
      <c r="T91" s="89">
        <v>44202</v>
      </c>
      <c r="U91" s="89">
        <v>44231</v>
      </c>
      <c r="V91" s="32"/>
      <c r="W91" s="35"/>
      <c r="X91" s="36"/>
      <c r="Y91" s="89"/>
      <c r="Z91" s="32"/>
      <c r="AA91" s="35"/>
      <c r="AB91" s="36"/>
      <c r="AC91" s="89"/>
      <c r="AD91" s="270">
        <f t="shared" si="5"/>
        <v>10000</v>
      </c>
      <c r="AE91" s="38">
        <f t="shared" si="6"/>
        <v>10000</v>
      </c>
    </row>
    <row r="92" spans="2:31" s="26" customFormat="1" ht="13.5" customHeight="1" x14ac:dyDescent="0.25">
      <c r="B92" s="276">
        <v>81</v>
      </c>
      <c r="C92" s="276" t="s">
        <v>39</v>
      </c>
      <c r="D92" s="276" t="s">
        <v>1028</v>
      </c>
      <c r="E92" s="279" t="s">
        <v>1029</v>
      </c>
      <c r="F92" s="30" t="s">
        <v>147</v>
      </c>
      <c r="G92" s="30" t="s">
        <v>847</v>
      </c>
      <c r="H92" s="42" t="s">
        <v>1030</v>
      </c>
      <c r="I92" s="110" t="s">
        <v>57</v>
      </c>
      <c r="J92" s="271">
        <v>451945</v>
      </c>
      <c r="K92" s="31">
        <v>0</v>
      </c>
      <c r="L92" s="31">
        <v>63395</v>
      </c>
      <c r="M92" s="160"/>
      <c r="N92" s="160"/>
      <c r="O92" s="160"/>
      <c r="P92" s="31"/>
      <c r="Q92" s="31">
        <f t="shared" si="4"/>
        <v>0</v>
      </c>
      <c r="R92" s="32">
        <v>10871</v>
      </c>
      <c r="S92" s="36">
        <v>3</v>
      </c>
      <c r="T92" s="89">
        <v>44202</v>
      </c>
      <c r="U92" s="89">
        <v>44231</v>
      </c>
      <c r="V92" s="32"/>
      <c r="W92" s="35"/>
      <c r="X92" s="36"/>
      <c r="Y92" s="89"/>
      <c r="Z92" s="32"/>
      <c r="AA92" s="35"/>
      <c r="AB92" s="36"/>
      <c r="AC92" s="89"/>
      <c r="AD92" s="270">
        <f t="shared" si="5"/>
        <v>10871</v>
      </c>
      <c r="AE92" s="38">
        <f t="shared" si="6"/>
        <v>10871</v>
      </c>
    </row>
    <row r="93" spans="2:31" s="26" customFormat="1" ht="13.5" customHeight="1" x14ac:dyDescent="0.25">
      <c r="B93" s="276">
        <v>82</v>
      </c>
      <c r="C93" s="276" t="s">
        <v>39</v>
      </c>
      <c r="D93" s="276" t="s">
        <v>1031</v>
      </c>
      <c r="E93" s="279" t="s">
        <v>1032</v>
      </c>
      <c r="F93" s="30" t="s">
        <v>147</v>
      </c>
      <c r="G93" s="30" t="s">
        <v>847</v>
      </c>
      <c r="H93" s="42" t="s">
        <v>1030</v>
      </c>
      <c r="I93" s="274" t="s">
        <v>72</v>
      </c>
      <c r="J93" s="271">
        <v>3582170</v>
      </c>
      <c r="K93" s="31">
        <v>0</v>
      </c>
      <c r="L93" s="31">
        <v>539023</v>
      </c>
      <c r="M93" s="160">
        <v>320554</v>
      </c>
      <c r="N93" s="160"/>
      <c r="O93" s="160">
        <v>280008</v>
      </c>
      <c r="P93" s="31"/>
      <c r="Q93" s="31">
        <f t="shared" si="4"/>
        <v>600562</v>
      </c>
      <c r="R93" s="32">
        <v>885555</v>
      </c>
      <c r="S93" s="36">
        <v>3</v>
      </c>
      <c r="T93" s="89">
        <v>44202</v>
      </c>
      <c r="U93" s="89">
        <v>44231</v>
      </c>
      <c r="V93" s="32">
        <v>560000</v>
      </c>
      <c r="W93" s="35">
        <v>17</v>
      </c>
      <c r="X93" s="41">
        <v>44242</v>
      </c>
      <c r="Y93" s="89">
        <v>44271</v>
      </c>
      <c r="Z93" s="32"/>
      <c r="AA93" s="35"/>
      <c r="AB93" s="41"/>
      <c r="AC93" s="89"/>
      <c r="AD93" s="270">
        <f t="shared" si="5"/>
        <v>1445555</v>
      </c>
      <c r="AE93" s="38">
        <f t="shared" si="6"/>
        <v>844993</v>
      </c>
    </row>
    <row r="94" spans="2:31" s="26" customFormat="1" ht="13.5" customHeight="1" x14ac:dyDescent="0.25">
      <c r="B94" s="276">
        <v>83</v>
      </c>
      <c r="C94" s="276" t="s">
        <v>39</v>
      </c>
      <c r="D94" s="276" t="s">
        <v>1033</v>
      </c>
      <c r="E94" s="279" t="s">
        <v>1034</v>
      </c>
      <c r="F94" s="30" t="s">
        <v>147</v>
      </c>
      <c r="G94" s="30" t="s">
        <v>847</v>
      </c>
      <c r="H94" s="42" t="s">
        <v>1035</v>
      </c>
      <c r="I94" s="110" t="s">
        <v>57</v>
      </c>
      <c r="J94" s="271">
        <v>6037053</v>
      </c>
      <c r="K94" s="31">
        <v>191490</v>
      </c>
      <c r="L94" s="31">
        <v>0</v>
      </c>
      <c r="M94" s="160"/>
      <c r="N94" s="160"/>
      <c r="O94" s="160"/>
      <c r="P94" s="31"/>
      <c r="Q94" s="31">
        <f t="shared" si="4"/>
        <v>0</v>
      </c>
      <c r="R94" s="32">
        <v>50000</v>
      </c>
      <c r="S94" s="36">
        <v>3</v>
      </c>
      <c r="T94" s="89">
        <v>44202</v>
      </c>
      <c r="U94" s="89">
        <v>44231</v>
      </c>
      <c r="V94" s="32"/>
      <c r="W94" s="35"/>
      <c r="X94" s="36"/>
      <c r="Y94" s="89"/>
      <c r="Z94" s="32"/>
      <c r="AA94" s="35"/>
      <c r="AB94" s="36"/>
      <c r="AC94" s="89"/>
      <c r="AD94" s="270">
        <f t="shared" si="5"/>
        <v>50000</v>
      </c>
      <c r="AE94" s="38">
        <f t="shared" si="6"/>
        <v>50000</v>
      </c>
    </row>
    <row r="95" spans="2:31" s="26" customFormat="1" ht="13.5" customHeight="1" x14ac:dyDescent="0.25">
      <c r="B95" s="276">
        <v>84</v>
      </c>
      <c r="C95" s="276" t="s">
        <v>39</v>
      </c>
      <c r="D95" s="276" t="s">
        <v>1036</v>
      </c>
      <c r="E95" s="279" t="s">
        <v>1037</v>
      </c>
      <c r="F95" s="30" t="s">
        <v>147</v>
      </c>
      <c r="G95" s="30" t="s">
        <v>847</v>
      </c>
      <c r="H95" s="42" t="s">
        <v>1038</v>
      </c>
      <c r="I95" s="110" t="s">
        <v>57</v>
      </c>
      <c r="J95" s="271">
        <v>545741</v>
      </c>
      <c r="K95" s="31">
        <v>499000</v>
      </c>
      <c r="L95" s="31">
        <v>0</v>
      </c>
      <c r="M95" s="160"/>
      <c r="N95" s="160"/>
      <c r="O95" s="160"/>
      <c r="P95" s="31"/>
      <c r="Q95" s="31">
        <f t="shared" si="4"/>
        <v>0</v>
      </c>
      <c r="R95" s="32">
        <v>40000</v>
      </c>
      <c r="S95" s="36">
        <v>3</v>
      </c>
      <c r="T95" s="89">
        <v>44202</v>
      </c>
      <c r="U95" s="89">
        <v>44231</v>
      </c>
      <c r="V95" s="32"/>
      <c r="W95" s="35"/>
      <c r="X95" s="36"/>
      <c r="Y95" s="89"/>
      <c r="Z95" s="32"/>
      <c r="AA95" s="35"/>
      <c r="AB95" s="36"/>
      <c r="AC95" s="89"/>
      <c r="AD95" s="270">
        <f t="shared" si="5"/>
        <v>40000</v>
      </c>
      <c r="AE95" s="38">
        <f t="shared" si="6"/>
        <v>40000</v>
      </c>
    </row>
    <row r="96" spans="2:31" s="26" customFormat="1" ht="13.5" customHeight="1" x14ac:dyDescent="0.25">
      <c r="B96" s="276">
        <v>85</v>
      </c>
      <c r="C96" s="276" t="s">
        <v>39</v>
      </c>
      <c r="D96" s="276" t="s">
        <v>1039</v>
      </c>
      <c r="E96" s="279" t="s">
        <v>1040</v>
      </c>
      <c r="F96" s="30" t="s">
        <v>147</v>
      </c>
      <c r="G96" s="30" t="s">
        <v>847</v>
      </c>
      <c r="H96" s="42" t="s">
        <v>1038</v>
      </c>
      <c r="I96" s="110" t="s">
        <v>57</v>
      </c>
      <c r="J96" s="271">
        <v>1066998</v>
      </c>
      <c r="K96" s="31">
        <v>945566</v>
      </c>
      <c r="L96" s="31">
        <v>0</v>
      </c>
      <c r="M96" s="160"/>
      <c r="N96" s="160"/>
      <c r="O96" s="160"/>
      <c r="P96" s="31"/>
      <c r="Q96" s="31">
        <f t="shared" si="4"/>
        <v>0</v>
      </c>
      <c r="R96" s="32">
        <v>88211</v>
      </c>
      <c r="S96" s="36">
        <v>3</v>
      </c>
      <c r="T96" s="89">
        <v>44202</v>
      </c>
      <c r="U96" s="89">
        <v>44231</v>
      </c>
      <c r="V96" s="32"/>
      <c r="W96" s="35"/>
      <c r="X96" s="36"/>
      <c r="Y96" s="89"/>
      <c r="Z96" s="32"/>
      <c r="AA96" s="35"/>
      <c r="AB96" s="36"/>
      <c r="AC96" s="89"/>
      <c r="AD96" s="270">
        <f t="shared" si="5"/>
        <v>88211</v>
      </c>
      <c r="AE96" s="38">
        <f t="shared" si="6"/>
        <v>88211</v>
      </c>
    </row>
    <row r="97" spans="2:31" s="26" customFormat="1" ht="13.5" customHeight="1" x14ac:dyDescent="0.25">
      <c r="B97" s="276">
        <v>86</v>
      </c>
      <c r="C97" s="276" t="s">
        <v>39</v>
      </c>
      <c r="D97" s="276" t="s">
        <v>1041</v>
      </c>
      <c r="E97" s="279" t="s">
        <v>1042</v>
      </c>
      <c r="F97" s="30" t="s">
        <v>147</v>
      </c>
      <c r="G97" s="30" t="s">
        <v>847</v>
      </c>
      <c r="H97" s="42" t="s">
        <v>1043</v>
      </c>
      <c r="I97" s="110" t="s">
        <v>57</v>
      </c>
      <c r="J97" s="271">
        <v>2795634</v>
      </c>
      <c r="K97" s="31">
        <v>27244</v>
      </c>
      <c r="L97" s="31">
        <v>0</v>
      </c>
      <c r="M97" s="160"/>
      <c r="N97" s="160"/>
      <c r="O97" s="160"/>
      <c r="P97" s="31"/>
      <c r="Q97" s="31">
        <f t="shared" si="4"/>
        <v>0</v>
      </c>
      <c r="R97" s="32">
        <v>75000</v>
      </c>
      <c r="S97" s="36">
        <v>3</v>
      </c>
      <c r="T97" s="89">
        <v>44202</v>
      </c>
      <c r="U97" s="89">
        <v>44231</v>
      </c>
      <c r="V97" s="32"/>
      <c r="W97" s="35"/>
      <c r="X97" s="36"/>
      <c r="Y97" s="89"/>
      <c r="Z97" s="32"/>
      <c r="AA97" s="35"/>
      <c r="AB97" s="36"/>
      <c r="AC97" s="89"/>
      <c r="AD97" s="270">
        <f t="shared" si="5"/>
        <v>75000</v>
      </c>
      <c r="AE97" s="38">
        <f t="shared" si="6"/>
        <v>75000</v>
      </c>
    </row>
    <row r="98" spans="2:31" s="26" customFormat="1" ht="13.5" customHeight="1" x14ac:dyDescent="0.25">
      <c r="B98" s="276">
        <v>87</v>
      </c>
      <c r="C98" s="276" t="s">
        <v>39</v>
      </c>
      <c r="D98" s="276" t="s">
        <v>1044</v>
      </c>
      <c r="E98" s="279" t="s">
        <v>1045</v>
      </c>
      <c r="F98" s="30" t="s">
        <v>147</v>
      </c>
      <c r="G98" s="30" t="s">
        <v>847</v>
      </c>
      <c r="H98" s="42" t="s">
        <v>1046</v>
      </c>
      <c r="I98" s="110" t="s">
        <v>57</v>
      </c>
      <c r="J98" s="271">
        <v>1368250</v>
      </c>
      <c r="K98" s="31">
        <v>1009820</v>
      </c>
      <c r="L98" s="31">
        <v>0</v>
      </c>
      <c r="M98" s="160">
        <v>150000</v>
      </c>
      <c r="N98" s="160">
        <v>86446</v>
      </c>
      <c r="O98" s="160"/>
      <c r="P98" s="31"/>
      <c r="Q98" s="31">
        <f t="shared" si="4"/>
        <v>236446</v>
      </c>
      <c r="R98" s="32">
        <v>338840</v>
      </c>
      <c r="S98" s="36">
        <v>3</v>
      </c>
      <c r="T98" s="89">
        <v>44202</v>
      </c>
      <c r="U98" s="89">
        <v>44231</v>
      </c>
      <c r="V98" s="32">
        <v>390</v>
      </c>
      <c r="W98" s="35">
        <v>9</v>
      </c>
      <c r="X98" s="41">
        <v>44214</v>
      </c>
      <c r="Y98" s="89">
        <v>44246</v>
      </c>
      <c r="Z98" s="32"/>
      <c r="AA98" s="35"/>
      <c r="AB98" s="41"/>
      <c r="AC98" s="89"/>
      <c r="AD98" s="270">
        <f t="shared" si="5"/>
        <v>339230</v>
      </c>
      <c r="AE98" s="38">
        <f t="shared" si="6"/>
        <v>102784</v>
      </c>
    </row>
    <row r="99" spans="2:31" s="26" customFormat="1" ht="13.5" customHeight="1" x14ac:dyDescent="0.25">
      <c r="B99" s="276">
        <v>88</v>
      </c>
      <c r="C99" s="276" t="s">
        <v>39</v>
      </c>
      <c r="D99" s="276" t="s">
        <v>1047</v>
      </c>
      <c r="E99" s="279" t="s">
        <v>1048</v>
      </c>
      <c r="F99" s="30" t="s">
        <v>193</v>
      </c>
      <c r="G99" s="30" t="s">
        <v>847</v>
      </c>
      <c r="H99" s="42" t="s">
        <v>1049</v>
      </c>
      <c r="I99" s="110" t="s">
        <v>57</v>
      </c>
      <c r="J99" s="271">
        <v>27830</v>
      </c>
      <c r="K99" s="31">
        <v>15859</v>
      </c>
      <c r="L99" s="31">
        <v>0</v>
      </c>
      <c r="M99" s="160"/>
      <c r="N99" s="160"/>
      <c r="O99" s="160"/>
      <c r="P99" s="31"/>
      <c r="Q99" s="31">
        <f t="shared" si="4"/>
        <v>0</v>
      </c>
      <c r="R99" s="32">
        <v>1441</v>
      </c>
      <c r="S99" s="36">
        <v>3</v>
      </c>
      <c r="T99" s="89">
        <v>44202</v>
      </c>
      <c r="U99" s="89">
        <v>44231</v>
      </c>
      <c r="V99" s="32"/>
      <c r="W99" s="35"/>
      <c r="X99" s="36"/>
      <c r="Y99" s="89"/>
      <c r="Z99" s="32"/>
      <c r="AA99" s="35"/>
      <c r="AB99" s="36"/>
      <c r="AC99" s="89"/>
      <c r="AD99" s="270">
        <f t="shared" si="5"/>
        <v>1441</v>
      </c>
      <c r="AE99" s="38">
        <f t="shared" si="6"/>
        <v>1441</v>
      </c>
    </row>
    <row r="100" spans="2:31" s="26" customFormat="1" ht="13.5" customHeight="1" x14ac:dyDescent="0.25">
      <c r="B100" s="276">
        <v>89</v>
      </c>
      <c r="C100" s="276" t="s">
        <v>39</v>
      </c>
      <c r="D100" s="276" t="s">
        <v>1050</v>
      </c>
      <c r="E100" s="279" t="s">
        <v>1051</v>
      </c>
      <c r="F100" s="30" t="s">
        <v>147</v>
      </c>
      <c r="G100" s="30" t="s">
        <v>847</v>
      </c>
      <c r="H100" s="42" t="s">
        <v>1035</v>
      </c>
      <c r="I100" s="110" t="s">
        <v>57</v>
      </c>
      <c r="J100" s="271">
        <v>701476</v>
      </c>
      <c r="K100" s="31">
        <v>683165</v>
      </c>
      <c r="L100" s="31">
        <v>0</v>
      </c>
      <c r="M100" s="160"/>
      <c r="N100" s="160"/>
      <c r="O100" s="160">
        <v>629</v>
      </c>
      <c r="P100" s="31"/>
      <c r="Q100" s="31">
        <f t="shared" si="4"/>
        <v>629</v>
      </c>
      <c r="R100" s="32">
        <v>18311</v>
      </c>
      <c r="S100" s="36">
        <v>3</v>
      </c>
      <c r="T100" s="89">
        <v>44202</v>
      </c>
      <c r="U100" s="89">
        <v>44231</v>
      </c>
      <c r="V100" s="32"/>
      <c r="W100" s="35"/>
      <c r="X100" s="36"/>
      <c r="Y100" s="89"/>
      <c r="Z100" s="32"/>
      <c r="AA100" s="35"/>
      <c r="AB100" s="36"/>
      <c r="AC100" s="89"/>
      <c r="AD100" s="270">
        <f t="shared" si="5"/>
        <v>18311</v>
      </c>
      <c r="AE100" s="38">
        <f t="shared" si="6"/>
        <v>17682</v>
      </c>
    </row>
    <row r="101" spans="2:31" s="26" customFormat="1" ht="13.5" customHeight="1" x14ac:dyDescent="0.25">
      <c r="B101" s="276">
        <v>90</v>
      </c>
      <c r="C101" s="276" t="s">
        <v>39</v>
      </c>
      <c r="D101" s="276" t="s">
        <v>1052</v>
      </c>
      <c r="E101" s="279" t="s">
        <v>1053</v>
      </c>
      <c r="F101" s="30" t="s">
        <v>147</v>
      </c>
      <c r="G101" s="30" t="s">
        <v>847</v>
      </c>
      <c r="H101" s="42" t="s">
        <v>1035</v>
      </c>
      <c r="I101" s="274" t="s">
        <v>72</v>
      </c>
      <c r="J101" s="271">
        <v>29138</v>
      </c>
      <c r="K101" s="31">
        <v>0</v>
      </c>
      <c r="L101" s="31">
        <v>0</v>
      </c>
      <c r="M101" s="160">
        <v>0</v>
      </c>
      <c r="N101" s="160">
        <v>4774</v>
      </c>
      <c r="O101" s="160">
        <v>16709</v>
      </c>
      <c r="P101" s="31"/>
      <c r="Q101" s="31">
        <f t="shared" si="4"/>
        <v>21483</v>
      </c>
      <c r="R101" s="32">
        <v>21483</v>
      </c>
      <c r="S101" s="36">
        <v>3</v>
      </c>
      <c r="T101" s="89">
        <v>44202</v>
      </c>
      <c r="U101" s="89">
        <v>44231</v>
      </c>
      <c r="V101" s="32"/>
      <c r="W101" s="35"/>
      <c r="X101" s="36"/>
      <c r="Y101" s="89"/>
      <c r="Z101" s="32"/>
      <c r="AA101" s="35"/>
      <c r="AB101" s="36"/>
      <c r="AC101" s="89"/>
      <c r="AD101" s="270">
        <f t="shared" si="5"/>
        <v>21483</v>
      </c>
      <c r="AE101" s="38">
        <f t="shared" si="6"/>
        <v>0</v>
      </c>
    </row>
    <row r="102" spans="2:31" s="26" customFormat="1" ht="13.5" customHeight="1" x14ac:dyDescent="0.25">
      <c r="B102" s="276">
        <v>91</v>
      </c>
      <c r="C102" s="276" t="s">
        <v>39</v>
      </c>
      <c r="D102" s="276" t="s">
        <v>1054</v>
      </c>
      <c r="E102" s="279" t="s">
        <v>1055</v>
      </c>
      <c r="F102" s="30" t="s">
        <v>147</v>
      </c>
      <c r="G102" s="30" t="s">
        <v>847</v>
      </c>
      <c r="H102" s="42" t="s">
        <v>1049</v>
      </c>
      <c r="I102" s="274" t="s">
        <v>72</v>
      </c>
      <c r="J102" s="271">
        <v>108073</v>
      </c>
      <c r="K102" s="31">
        <v>60569</v>
      </c>
      <c r="L102" s="31">
        <v>0</v>
      </c>
      <c r="M102" s="160">
        <v>20998</v>
      </c>
      <c r="N102" s="160"/>
      <c r="O102" s="160">
        <v>10418</v>
      </c>
      <c r="P102" s="31"/>
      <c r="Q102" s="31">
        <f t="shared" si="4"/>
        <v>31416</v>
      </c>
      <c r="R102" s="32">
        <v>31416</v>
      </c>
      <c r="S102" s="36">
        <v>3</v>
      </c>
      <c r="T102" s="89">
        <v>44202</v>
      </c>
      <c r="U102" s="89">
        <v>44231</v>
      </c>
      <c r="V102" s="32">
        <v>10419</v>
      </c>
      <c r="W102" s="35">
        <v>17</v>
      </c>
      <c r="X102" s="41">
        <v>44242</v>
      </c>
      <c r="Y102" s="89">
        <v>44271</v>
      </c>
      <c r="Z102" s="32"/>
      <c r="AA102" s="35"/>
      <c r="AB102" s="41"/>
      <c r="AC102" s="89"/>
      <c r="AD102" s="270">
        <f t="shared" si="5"/>
        <v>41835</v>
      </c>
      <c r="AE102" s="38">
        <f t="shared" si="6"/>
        <v>10419</v>
      </c>
    </row>
    <row r="103" spans="2:31" s="26" customFormat="1" ht="13.5" customHeight="1" x14ac:dyDescent="0.25">
      <c r="B103" s="276">
        <v>93</v>
      </c>
      <c r="C103" s="276" t="s">
        <v>39</v>
      </c>
      <c r="D103" s="276" t="s">
        <v>1056</v>
      </c>
      <c r="E103" s="279" t="s">
        <v>1057</v>
      </c>
      <c r="F103" s="30" t="s">
        <v>147</v>
      </c>
      <c r="G103" s="30" t="s">
        <v>847</v>
      </c>
      <c r="H103" s="42" t="s">
        <v>868</v>
      </c>
      <c r="I103" s="110" t="s">
        <v>57</v>
      </c>
      <c r="J103" s="271">
        <v>466469</v>
      </c>
      <c r="K103" s="31">
        <v>445755</v>
      </c>
      <c r="L103" s="31">
        <v>0</v>
      </c>
      <c r="M103" s="160"/>
      <c r="N103" s="160"/>
      <c r="O103" s="160"/>
      <c r="P103" s="31"/>
      <c r="Q103" s="31">
        <f t="shared" si="4"/>
        <v>0</v>
      </c>
      <c r="R103" s="32">
        <v>20714</v>
      </c>
      <c r="S103" s="36">
        <v>4</v>
      </c>
      <c r="T103" s="89">
        <v>44202</v>
      </c>
      <c r="U103" s="89">
        <v>44231</v>
      </c>
      <c r="V103" s="32"/>
      <c r="W103" s="35"/>
      <c r="X103" s="36"/>
      <c r="Y103" s="89"/>
      <c r="Z103" s="32"/>
      <c r="AA103" s="35"/>
      <c r="AB103" s="36"/>
      <c r="AC103" s="89"/>
      <c r="AD103" s="270">
        <f t="shared" si="5"/>
        <v>20714</v>
      </c>
      <c r="AE103" s="38">
        <f t="shared" si="6"/>
        <v>20714</v>
      </c>
    </row>
    <row r="104" spans="2:31" s="26" customFormat="1" ht="13.5" customHeight="1" x14ac:dyDescent="0.25">
      <c r="B104" s="276">
        <v>94</v>
      </c>
      <c r="C104" s="276" t="s">
        <v>39</v>
      </c>
      <c r="D104" s="276" t="s">
        <v>1058</v>
      </c>
      <c r="E104" s="279" t="s">
        <v>1059</v>
      </c>
      <c r="F104" s="30" t="s">
        <v>147</v>
      </c>
      <c r="G104" s="30" t="s">
        <v>847</v>
      </c>
      <c r="H104" s="42" t="s">
        <v>868</v>
      </c>
      <c r="I104" s="110" t="s">
        <v>57</v>
      </c>
      <c r="J104" s="271">
        <v>584686</v>
      </c>
      <c r="K104" s="31">
        <v>457299</v>
      </c>
      <c r="L104" s="31">
        <v>0</v>
      </c>
      <c r="M104" s="160">
        <v>29699</v>
      </c>
      <c r="N104" s="160"/>
      <c r="O104" s="160">
        <v>80416</v>
      </c>
      <c r="P104" s="31"/>
      <c r="Q104" s="31">
        <f t="shared" si="4"/>
        <v>110115</v>
      </c>
      <c r="R104" s="32">
        <v>122071</v>
      </c>
      <c r="S104" s="36">
        <v>4</v>
      </c>
      <c r="T104" s="89">
        <v>44202</v>
      </c>
      <c r="U104" s="89">
        <v>44231</v>
      </c>
      <c r="V104" s="32"/>
      <c r="W104" s="35"/>
      <c r="X104" s="36"/>
      <c r="Y104" s="89"/>
      <c r="Z104" s="32"/>
      <c r="AA104" s="35"/>
      <c r="AB104" s="36"/>
      <c r="AC104" s="89"/>
      <c r="AD104" s="270">
        <f t="shared" si="5"/>
        <v>122071</v>
      </c>
      <c r="AE104" s="38">
        <f t="shared" si="6"/>
        <v>11956</v>
      </c>
    </row>
    <row r="105" spans="2:31" s="26" customFormat="1" ht="13.5" customHeight="1" x14ac:dyDescent="0.25">
      <c r="B105" s="276">
        <v>95</v>
      </c>
      <c r="C105" s="276" t="s">
        <v>39</v>
      </c>
      <c r="D105" s="276" t="s">
        <v>1060</v>
      </c>
      <c r="E105" s="279" t="s">
        <v>1061</v>
      </c>
      <c r="F105" s="30" t="s">
        <v>147</v>
      </c>
      <c r="G105" s="30" t="s">
        <v>847</v>
      </c>
      <c r="H105" s="42" t="s">
        <v>1062</v>
      </c>
      <c r="I105" s="110" t="s">
        <v>57</v>
      </c>
      <c r="J105" s="271">
        <v>375074</v>
      </c>
      <c r="K105" s="31">
        <v>325569</v>
      </c>
      <c r="L105" s="31">
        <v>0</v>
      </c>
      <c r="M105" s="160">
        <f>25982+10999</f>
        <v>36981</v>
      </c>
      <c r="N105" s="160"/>
      <c r="O105" s="160"/>
      <c r="P105" s="31"/>
      <c r="Q105" s="31">
        <f t="shared" si="4"/>
        <v>36981</v>
      </c>
      <c r="R105" s="32">
        <v>49505</v>
      </c>
      <c r="S105" s="36">
        <v>4</v>
      </c>
      <c r="T105" s="89">
        <v>44202</v>
      </c>
      <c r="U105" s="89">
        <v>44231</v>
      </c>
      <c r="V105" s="32"/>
      <c r="W105" s="35"/>
      <c r="X105" s="36"/>
      <c r="Y105" s="89"/>
      <c r="Z105" s="32"/>
      <c r="AA105" s="35"/>
      <c r="AB105" s="36"/>
      <c r="AC105" s="89"/>
      <c r="AD105" s="270">
        <f t="shared" si="5"/>
        <v>49505</v>
      </c>
      <c r="AE105" s="38">
        <f t="shared" si="6"/>
        <v>12524</v>
      </c>
    </row>
    <row r="106" spans="2:31" s="26" customFormat="1" ht="13.5" customHeight="1" x14ac:dyDescent="0.25">
      <c r="B106" s="276">
        <v>96</v>
      </c>
      <c r="C106" s="276" t="s">
        <v>39</v>
      </c>
      <c r="D106" s="276" t="s">
        <v>1063</v>
      </c>
      <c r="E106" s="279" t="s">
        <v>1064</v>
      </c>
      <c r="F106" s="30" t="s">
        <v>147</v>
      </c>
      <c r="G106" s="30" t="s">
        <v>847</v>
      </c>
      <c r="H106" s="42" t="s">
        <v>848</v>
      </c>
      <c r="I106" s="110" t="s">
        <v>57</v>
      </c>
      <c r="J106" s="271">
        <v>838087</v>
      </c>
      <c r="K106" s="31">
        <v>729498</v>
      </c>
      <c r="L106" s="31">
        <v>0</v>
      </c>
      <c r="M106" s="160"/>
      <c r="N106" s="160"/>
      <c r="O106" s="160">
        <v>266</v>
      </c>
      <c r="P106" s="31"/>
      <c r="Q106" s="31">
        <f t="shared" si="4"/>
        <v>266</v>
      </c>
      <c r="R106" s="32">
        <v>103322</v>
      </c>
      <c r="S106" s="36">
        <v>4</v>
      </c>
      <c r="T106" s="89">
        <v>44202</v>
      </c>
      <c r="U106" s="89">
        <v>44231</v>
      </c>
      <c r="V106" s="32"/>
      <c r="W106" s="35"/>
      <c r="X106" s="36"/>
      <c r="Y106" s="89"/>
      <c r="Z106" s="32"/>
      <c r="AA106" s="35"/>
      <c r="AB106" s="36"/>
      <c r="AC106" s="89"/>
      <c r="AD106" s="270">
        <f t="shared" si="5"/>
        <v>103322</v>
      </c>
      <c r="AE106" s="38">
        <f t="shared" si="6"/>
        <v>103056</v>
      </c>
    </row>
    <row r="107" spans="2:31" s="26" customFormat="1" ht="13.5" customHeight="1" x14ac:dyDescent="0.25">
      <c r="B107" s="276">
        <v>97</v>
      </c>
      <c r="C107" s="276" t="s">
        <v>39</v>
      </c>
      <c r="D107" s="276" t="s">
        <v>1065</v>
      </c>
      <c r="E107" s="279" t="s">
        <v>1066</v>
      </c>
      <c r="F107" s="30" t="s">
        <v>147</v>
      </c>
      <c r="G107" s="30" t="s">
        <v>847</v>
      </c>
      <c r="H107" s="42" t="s">
        <v>1038</v>
      </c>
      <c r="I107" s="274" t="s">
        <v>72</v>
      </c>
      <c r="J107" s="271">
        <v>410657</v>
      </c>
      <c r="K107" s="31">
        <v>0</v>
      </c>
      <c r="L107" s="31">
        <v>0</v>
      </c>
      <c r="M107" s="160"/>
      <c r="N107" s="160"/>
      <c r="O107" s="160"/>
      <c r="P107" s="31"/>
      <c r="Q107" s="31">
        <f t="shared" si="4"/>
        <v>0</v>
      </c>
      <c r="R107" s="32">
        <v>120000</v>
      </c>
      <c r="S107" s="36">
        <v>4</v>
      </c>
      <c r="T107" s="89">
        <v>44202</v>
      </c>
      <c r="U107" s="89">
        <v>44231</v>
      </c>
      <c r="V107" s="32"/>
      <c r="W107" s="35"/>
      <c r="X107" s="36"/>
      <c r="Y107" s="89"/>
      <c r="Z107" s="32"/>
      <c r="AA107" s="35"/>
      <c r="AB107" s="36"/>
      <c r="AC107" s="89"/>
      <c r="AD107" s="270">
        <f t="shared" si="5"/>
        <v>120000</v>
      </c>
      <c r="AE107" s="38">
        <f t="shared" si="6"/>
        <v>120000</v>
      </c>
    </row>
    <row r="108" spans="2:31" s="26" customFormat="1" ht="13.5" customHeight="1" x14ac:dyDescent="0.25">
      <c r="B108" s="276">
        <v>98</v>
      </c>
      <c r="C108" s="276" t="s">
        <v>39</v>
      </c>
      <c r="D108" s="276" t="s">
        <v>1067</v>
      </c>
      <c r="E108" s="279" t="s">
        <v>1068</v>
      </c>
      <c r="F108" s="30" t="s">
        <v>147</v>
      </c>
      <c r="G108" s="30" t="s">
        <v>847</v>
      </c>
      <c r="H108" s="42" t="s">
        <v>1046</v>
      </c>
      <c r="I108" s="274" t="s">
        <v>72</v>
      </c>
      <c r="J108" s="271">
        <v>540229</v>
      </c>
      <c r="K108" s="31">
        <v>79163</v>
      </c>
      <c r="L108" s="31">
        <v>0</v>
      </c>
      <c r="M108" s="160">
        <f>2000+112278</f>
        <v>114278</v>
      </c>
      <c r="N108" s="160">
        <f>2000+108475</f>
        <v>110475</v>
      </c>
      <c r="O108" s="160">
        <f>2000+96522</f>
        <v>98522</v>
      </c>
      <c r="P108" s="31"/>
      <c r="Q108" s="31">
        <f t="shared" ref="Q108:Q138" si="7">SUM(M108:P108)</f>
        <v>323275</v>
      </c>
      <c r="R108" s="32">
        <v>331000</v>
      </c>
      <c r="S108" s="36">
        <v>4</v>
      </c>
      <c r="T108" s="89">
        <v>44202</v>
      </c>
      <c r="U108" s="89">
        <v>44231</v>
      </c>
      <c r="V108" s="32">
        <v>359</v>
      </c>
      <c r="W108" s="35">
        <v>18</v>
      </c>
      <c r="X108" s="41">
        <v>44242</v>
      </c>
      <c r="Y108" s="89">
        <v>44270</v>
      </c>
      <c r="Z108" s="32"/>
      <c r="AA108" s="35"/>
      <c r="AB108" s="41"/>
      <c r="AC108" s="89"/>
      <c r="AD108" s="270">
        <f t="shared" si="5"/>
        <v>331359</v>
      </c>
      <c r="AE108" s="38">
        <f t="shared" si="6"/>
        <v>8084</v>
      </c>
    </row>
    <row r="109" spans="2:31" s="26" customFormat="1" ht="13.5" customHeight="1" x14ac:dyDescent="0.25">
      <c r="B109" s="276">
        <v>99</v>
      </c>
      <c r="C109" s="276" t="s">
        <v>39</v>
      </c>
      <c r="D109" s="276" t="s">
        <v>1069</v>
      </c>
      <c r="E109" s="279" t="s">
        <v>1070</v>
      </c>
      <c r="F109" s="30" t="s">
        <v>147</v>
      </c>
      <c r="G109" s="30" t="s">
        <v>847</v>
      </c>
      <c r="H109" s="42" t="s">
        <v>848</v>
      </c>
      <c r="I109" s="274" t="s">
        <v>57</v>
      </c>
      <c r="J109" s="271">
        <v>415779</v>
      </c>
      <c r="K109" s="31">
        <v>407157</v>
      </c>
      <c r="L109" s="31">
        <v>0</v>
      </c>
      <c r="M109" s="160">
        <v>8622</v>
      </c>
      <c r="N109" s="160"/>
      <c r="O109" s="160"/>
      <c r="P109" s="31"/>
      <c r="Q109" s="31">
        <f t="shared" si="7"/>
        <v>8622</v>
      </c>
      <c r="R109" s="32">
        <v>8622</v>
      </c>
      <c r="S109" s="36">
        <v>4</v>
      </c>
      <c r="T109" s="89">
        <v>44202</v>
      </c>
      <c r="U109" s="89">
        <v>44231</v>
      </c>
      <c r="V109" s="32"/>
      <c r="W109" s="35"/>
      <c r="X109" s="36"/>
      <c r="Y109" s="89"/>
      <c r="Z109" s="32"/>
      <c r="AA109" s="35"/>
      <c r="AB109" s="36"/>
      <c r="AC109" s="89"/>
      <c r="AD109" s="270">
        <f t="shared" si="5"/>
        <v>8622</v>
      </c>
      <c r="AE109" s="38">
        <f t="shared" si="6"/>
        <v>0</v>
      </c>
    </row>
    <row r="110" spans="2:31" s="26" customFormat="1" ht="13.5" customHeight="1" x14ac:dyDescent="0.25">
      <c r="B110" s="276">
        <v>100</v>
      </c>
      <c r="C110" s="276" t="s">
        <v>39</v>
      </c>
      <c r="D110" s="276" t="s">
        <v>1071</v>
      </c>
      <c r="E110" s="279" t="s">
        <v>1072</v>
      </c>
      <c r="F110" s="30" t="s">
        <v>147</v>
      </c>
      <c r="G110" s="30" t="s">
        <v>847</v>
      </c>
      <c r="H110" s="42" t="s">
        <v>552</v>
      </c>
      <c r="I110" s="274" t="s">
        <v>57</v>
      </c>
      <c r="J110" s="271">
        <v>9994858</v>
      </c>
      <c r="K110" s="31">
        <v>8878159</v>
      </c>
      <c r="L110" s="31">
        <v>0</v>
      </c>
      <c r="M110" s="160">
        <v>330006</v>
      </c>
      <c r="N110" s="160"/>
      <c r="O110" s="160">
        <v>8055</v>
      </c>
      <c r="P110" s="31"/>
      <c r="Q110" s="31">
        <f t="shared" si="7"/>
        <v>338061</v>
      </c>
      <c r="R110" s="32">
        <v>450000</v>
      </c>
      <c r="S110" s="36">
        <v>4</v>
      </c>
      <c r="T110" s="89">
        <v>44202</v>
      </c>
      <c r="U110" s="89">
        <v>44231</v>
      </c>
      <c r="V110" s="32">
        <v>508056</v>
      </c>
      <c r="W110" s="35">
        <v>18</v>
      </c>
      <c r="X110" s="41">
        <v>44242</v>
      </c>
      <c r="Y110" s="89">
        <v>44270</v>
      </c>
      <c r="Z110" s="32"/>
      <c r="AA110" s="35"/>
      <c r="AB110" s="41"/>
      <c r="AC110" s="89"/>
      <c r="AD110" s="270">
        <f t="shared" si="5"/>
        <v>958056</v>
      </c>
      <c r="AE110" s="38">
        <f t="shared" si="6"/>
        <v>619995</v>
      </c>
    </row>
    <row r="111" spans="2:31" s="26" customFormat="1" ht="13.5" customHeight="1" x14ac:dyDescent="0.25">
      <c r="B111" s="276">
        <v>101</v>
      </c>
      <c r="C111" s="276" t="s">
        <v>39</v>
      </c>
      <c r="D111" s="276" t="s">
        <v>1073</v>
      </c>
      <c r="E111" s="279" t="s">
        <v>1074</v>
      </c>
      <c r="F111" s="30" t="s">
        <v>147</v>
      </c>
      <c r="G111" s="30" t="s">
        <v>847</v>
      </c>
      <c r="H111" s="42" t="s">
        <v>552</v>
      </c>
      <c r="I111" s="274" t="s">
        <v>72</v>
      </c>
      <c r="J111" s="271">
        <v>2073722</v>
      </c>
      <c r="K111" s="31">
        <v>1034259</v>
      </c>
      <c r="L111" s="31">
        <v>0</v>
      </c>
      <c r="M111" s="160"/>
      <c r="N111" s="160"/>
      <c r="O111" s="160"/>
      <c r="P111" s="31"/>
      <c r="Q111" s="31">
        <f t="shared" si="7"/>
        <v>0</v>
      </c>
      <c r="R111" s="32">
        <v>750001</v>
      </c>
      <c r="S111" s="36">
        <v>4</v>
      </c>
      <c r="T111" s="89">
        <v>44202</v>
      </c>
      <c r="U111" s="89">
        <v>44231</v>
      </c>
      <c r="V111" s="32"/>
      <c r="W111" s="35"/>
      <c r="X111" s="36"/>
      <c r="Y111" s="89"/>
      <c r="Z111" s="32"/>
      <c r="AA111" s="35"/>
      <c r="AB111" s="36"/>
      <c r="AC111" s="89"/>
      <c r="AD111" s="270">
        <f t="shared" si="5"/>
        <v>750001</v>
      </c>
      <c r="AE111" s="38">
        <f t="shared" si="6"/>
        <v>750001</v>
      </c>
    </row>
    <row r="112" spans="2:31" s="26" customFormat="1" ht="13.5" customHeight="1" x14ac:dyDescent="0.25">
      <c r="B112" s="276">
        <v>103</v>
      </c>
      <c r="C112" s="276" t="s">
        <v>39</v>
      </c>
      <c r="D112" s="276" t="s">
        <v>1075</v>
      </c>
      <c r="E112" s="279" t="s">
        <v>1076</v>
      </c>
      <c r="F112" s="30" t="s">
        <v>147</v>
      </c>
      <c r="G112" s="30" t="s">
        <v>847</v>
      </c>
      <c r="H112" s="42" t="s">
        <v>884</v>
      </c>
      <c r="I112" s="274" t="s">
        <v>57</v>
      </c>
      <c r="J112" s="271">
        <v>2194607</v>
      </c>
      <c r="K112" s="31">
        <v>9978</v>
      </c>
      <c r="L112" s="31">
        <v>216287</v>
      </c>
      <c r="M112" s="160"/>
      <c r="N112" s="160"/>
      <c r="O112" s="160"/>
      <c r="P112" s="31"/>
      <c r="Q112" s="31">
        <f t="shared" si="7"/>
        <v>0</v>
      </c>
      <c r="R112" s="32">
        <v>1946591</v>
      </c>
      <c r="S112" s="36">
        <v>9</v>
      </c>
      <c r="T112" s="89">
        <v>44214</v>
      </c>
      <c r="U112" s="89">
        <v>44246</v>
      </c>
      <c r="V112" s="32"/>
      <c r="W112" s="35"/>
      <c r="X112" s="36"/>
      <c r="Y112" s="89"/>
      <c r="Z112" s="32"/>
      <c r="AA112" s="35"/>
      <c r="AB112" s="36"/>
      <c r="AC112" s="89"/>
      <c r="AD112" s="270">
        <f t="shared" si="5"/>
        <v>1946591</v>
      </c>
      <c r="AE112" s="38">
        <f t="shared" si="6"/>
        <v>1946591</v>
      </c>
    </row>
    <row r="113" spans="2:31" s="26" customFormat="1" ht="13.5" customHeight="1" x14ac:dyDescent="0.25">
      <c r="B113" s="276">
        <v>104</v>
      </c>
      <c r="C113" s="276" t="s">
        <v>39</v>
      </c>
      <c r="D113" s="276" t="s">
        <v>1077</v>
      </c>
      <c r="E113" s="279" t="s">
        <v>1078</v>
      </c>
      <c r="F113" s="30" t="s">
        <v>147</v>
      </c>
      <c r="G113" s="30" t="s">
        <v>847</v>
      </c>
      <c r="H113" s="42" t="s">
        <v>1079</v>
      </c>
      <c r="I113" s="274" t="s">
        <v>72</v>
      </c>
      <c r="J113" s="271">
        <v>1729307</v>
      </c>
      <c r="K113" s="31">
        <v>778</v>
      </c>
      <c r="L113" s="31">
        <v>724229</v>
      </c>
      <c r="M113" s="160"/>
      <c r="N113" s="160"/>
      <c r="O113" s="160"/>
      <c r="P113" s="31"/>
      <c r="Q113" s="31">
        <f t="shared" si="7"/>
        <v>0</v>
      </c>
      <c r="R113" s="32">
        <v>983451</v>
      </c>
      <c r="S113" s="36">
        <v>9</v>
      </c>
      <c r="T113" s="89">
        <v>44214</v>
      </c>
      <c r="U113" s="89">
        <v>44246</v>
      </c>
      <c r="V113" s="32"/>
      <c r="W113" s="35"/>
      <c r="X113" s="36"/>
      <c r="Y113" s="89"/>
      <c r="Z113" s="32"/>
      <c r="AA113" s="35"/>
      <c r="AB113" s="36"/>
      <c r="AC113" s="89"/>
      <c r="AD113" s="270">
        <f t="shared" si="5"/>
        <v>983451</v>
      </c>
      <c r="AE113" s="38">
        <f t="shared" si="6"/>
        <v>983451</v>
      </c>
    </row>
    <row r="114" spans="2:31" s="26" customFormat="1" ht="13.5" customHeight="1" x14ac:dyDescent="0.25">
      <c r="B114" s="276">
        <v>105</v>
      </c>
      <c r="C114" s="276" t="s">
        <v>39</v>
      </c>
      <c r="D114" s="276" t="s">
        <v>1080</v>
      </c>
      <c r="E114" s="279" t="s">
        <v>1081</v>
      </c>
      <c r="F114" s="30" t="s">
        <v>147</v>
      </c>
      <c r="G114" s="30" t="s">
        <v>847</v>
      </c>
      <c r="H114" s="42" t="s">
        <v>848</v>
      </c>
      <c r="I114" s="274" t="s">
        <v>72</v>
      </c>
      <c r="J114" s="271">
        <v>198165</v>
      </c>
      <c r="K114" s="31">
        <v>0</v>
      </c>
      <c r="L114" s="31">
        <v>198163</v>
      </c>
      <c r="M114" s="160"/>
      <c r="N114" s="160"/>
      <c r="O114" s="160"/>
      <c r="P114" s="31"/>
      <c r="Q114" s="31">
        <f t="shared" si="7"/>
        <v>0</v>
      </c>
      <c r="R114" s="32">
        <v>1</v>
      </c>
      <c r="S114" s="36">
        <v>9</v>
      </c>
      <c r="T114" s="89">
        <v>44214</v>
      </c>
      <c r="U114" s="89">
        <v>44246</v>
      </c>
      <c r="V114" s="32"/>
      <c r="W114" s="35"/>
      <c r="X114" s="36"/>
      <c r="Y114" s="89"/>
      <c r="Z114" s="32"/>
      <c r="AA114" s="35"/>
      <c r="AB114" s="36"/>
      <c r="AC114" s="89"/>
      <c r="AD114" s="270">
        <f t="shared" si="5"/>
        <v>1</v>
      </c>
      <c r="AE114" s="38">
        <f t="shared" si="6"/>
        <v>1</v>
      </c>
    </row>
    <row r="115" spans="2:31" s="26" customFormat="1" ht="13.5" customHeight="1" x14ac:dyDescent="0.25">
      <c r="B115" s="276">
        <v>106</v>
      </c>
      <c r="C115" s="276" t="s">
        <v>39</v>
      </c>
      <c r="D115" s="276" t="s">
        <v>1082</v>
      </c>
      <c r="E115" s="279" t="s">
        <v>1083</v>
      </c>
      <c r="F115" s="30" t="s">
        <v>193</v>
      </c>
      <c r="G115" s="30" t="s">
        <v>847</v>
      </c>
      <c r="H115" s="42" t="s">
        <v>893</v>
      </c>
      <c r="I115" s="274" t="s">
        <v>72</v>
      </c>
      <c r="J115" s="271">
        <v>5619966</v>
      </c>
      <c r="K115" s="31">
        <v>0</v>
      </c>
      <c r="L115" s="31">
        <v>5611312</v>
      </c>
      <c r="M115" s="160"/>
      <c r="N115" s="160"/>
      <c r="O115" s="160"/>
      <c r="P115" s="31"/>
      <c r="Q115" s="31">
        <f t="shared" si="7"/>
        <v>0</v>
      </c>
      <c r="R115" s="32">
        <v>2</v>
      </c>
      <c r="S115" s="36">
        <v>9</v>
      </c>
      <c r="T115" s="89">
        <v>44214</v>
      </c>
      <c r="U115" s="89">
        <v>44246</v>
      </c>
      <c r="V115" s="32"/>
      <c r="W115" s="35"/>
      <c r="X115" s="36"/>
      <c r="Y115" s="89"/>
      <c r="Z115" s="32"/>
      <c r="AA115" s="35"/>
      <c r="AB115" s="36"/>
      <c r="AC115" s="89"/>
      <c r="AD115" s="270">
        <f t="shared" si="5"/>
        <v>2</v>
      </c>
      <c r="AE115" s="38">
        <f t="shared" si="6"/>
        <v>2</v>
      </c>
    </row>
    <row r="116" spans="2:31" s="26" customFormat="1" ht="13.5" customHeight="1" x14ac:dyDescent="0.25">
      <c r="B116" s="276">
        <v>107</v>
      </c>
      <c r="C116" s="276" t="s">
        <v>39</v>
      </c>
      <c r="D116" s="276" t="s">
        <v>1084</v>
      </c>
      <c r="E116" s="279" t="s">
        <v>1085</v>
      </c>
      <c r="F116" s="30" t="s">
        <v>147</v>
      </c>
      <c r="G116" s="30" t="s">
        <v>847</v>
      </c>
      <c r="H116" s="42" t="s">
        <v>921</v>
      </c>
      <c r="I116" s="274" t="s">
        <v>57</v>
      </c>
      <c r="J116" s="271">
        <v>2309162</v>
      </c>
      <c r="K116" s="31">
        <v>1014299</v>
      </c>
      <c r="L116" s="31">
        <v>0</v>
      </c>
      <c r="M116" s="160"/>
      <c r="N116" s="160"/>
      <c r="O116" s="160"/>
      <c r="P116" s="31"/>
      <c r="Q116" s="31">
        <f t="shared" si="7"/>
        <v>0</v>
      </c>
      <c r="R116" s="32">
        <v>1303483</v>
      </c>
      <c r="S116" s="36">
        <v>9</v>
      </c>
      <c r="T116" s="89">
        <v>44214</v>
      </c>
      <c r="U116" s="89">
        <v>44246</v>
      </c>
      <c r="V116" s="32"/>
      <c r="W116" s="35"/>
      <c r="X116" s="36"/>
      <c r="Y116" s="89"/>
      <c r="Z116" s="32"/>
      <c r="AA116" s="35"/>
      <c r="AB116" s="36"/>
      <c r="AC116" s="89"/>
      <c r="AD116" s="270">
        <f t="shared" si="5"/>
        <v>1303483</v>
      </c>
      <c r="AE116" s="38">
        <f t="shared" si="6"/>
        <v>1303483</v>
      </c>
    </row>
    <row r="117" spans="2:31" s="26" customFormat="1" ht="13.5" customHeight="1" x14ac:dyDescent="0.25">
      <c r="B117" s="276">
        <v>108</v>
      </c>
      <c r="C117" s="276" t="s">
        <v>39</v>
      </c>
      <c r="D117" s="276" t="s">
        <v>1086</v>
      </c>
      <c r="E117" s="279" t="s">
        <v>1087</v>
      </c>
      <c r="F117" s="30" t="s">
        <v>147</v>
      </c>
      <c r="G117" s="30" t="s">
        <v>847</v>
      </c>
      <c r="H117" s="42" t="s">
        <v>975</v>
      </c>
      <c r="I117" s="274" t="s">
        <v>57</v>
      </c>
      <c r="J117" s="271">
        <v>280668</v>
      </c>
      <c r="K117" s="31">
        <v>264860</v>
      </c>
      <c r="L117" s="31">
        <v>0</v>
      </c>
      <c r="M117" s="160"/>
      <c r="N117" s="160"/>
      <c r="O117" s="160"/>
      <c r="P117" s="31"/>
      <c r="Q117" s="31">
        <f t="shared" si="7"/>
        <v>0</v>
      </c>
      <c r="R117" s="32">
        <v>15018</v>
      </c>
      <c r="S117" s="36">
        <v>9</v>
      </c>
      <c r="T117" s="89">
        <v>44214</v>
      </c>
      <c r="U117" s="89">
        <v>44246</v>
      </c>
      <c r="V117" s="32"/>
      <c r="W117" s="35"/>
      <c r="X117" s="36"/>
      <c r="Y117" s="89"/>
      <c r="Z117" s="32"/>
      <c r="AA117" s="35"/>
      <c r="AB117" s="36"/>
      <c r="AC117" s="89"/>
      <c r="AD117" s="270">
        <f t="shared" si="5"/>
        <v>15018</v>
      </c>
      <c r="AE117" s="38">
        <f t="shared" si="6"/>
        <v>15018</v>
      </c>
    </row>
    <row r="118" spans="2:31" s="26" customFormat="1" ht="13.5" customHeight="1" x14ac:dyDescent="0.25">
      <c r="B118" s="276">
        <v>109</v>
      </c>
      <c r="C118" s="276" t="s">
        <v>39</v>
      </c>
      <c r="D118" s="276" t="s">
        <v>1088</v>
      </c>
      <c r="E118" s="279" t="s">
        <v>1089</v>
      </c>
      <c r="F118" s="30" t="s">
        <v>147</v>
      </c>
      <c r="G118" s="30" t="s">
        <v>847</v>
      </c>
      <c r="H118" s="42" t="s">
        <v>912</v>
      </c>
      <c r="I118" s="274" t="s">
        <v>57</v>
      </c>
      <c r="J118" s="271">
        <v>1976346</v>
      </c>
      <c r="K118" s="31">
        <v>181052</v>
      </c>
      <c r="L118" s="31">
        <v>0</v>
      </c>
      <c r="M118" s="160"/>
      <c r="N118" s="160"/>
      <c r="O118" s="160"/>
      <c r="P118" s="31"/>
      <c r="Q118" s="31">
        <f t="shared" si="7"/>
        <v>0</v>
      </c>
      <c r="R118" s="32">
        <v>137635</v>
      </c>
      <c r="S118" s="36">
        <v>9</v>
      </c>
      <c r="T118" s="89">
        <v>44214</v>
      </c>
      <c r="U118" s="89">
        <v>44246</v>
      </c>
      <c r="V118" s="32"/>
      <c r="W118" s="35"/>
      <c r="X118" s="36"/>
      <c r="Y118" s="89"/>
      <c r="Z118" s="32"/>
      <c r="AA118" s="35"/>
      <c r="AB118" s="36"/>
      <c r="AC118" s="89"/>
      <c r="AD118" s="270">
        <f t="shared" si="5"/>
        <v>137635</v>
      </c>
      <c r="AE118" s="38">
        <f t="shared" si="6"/>
        <v>137635</v>
      </c>
    </row>
    <row r="119" spans="2:31" s="26" customFormat="1" ht="13.5" customHeight="1" x14ac:dyDescent="0.25">
      <c r="B119" s="276">
        <v>110</v>
      </c>
      <c r="C119" s="276" t="s">
        <v>39</v>
      </c>
      <c r="D119" s="276" t="s">
        <v>1090</v>
      </c>
      <c r="E119" s="279" t="s">
        <v>1091</v>
      </c>
      <c r="F119" s="30" t="s">
        <v>147</v>
      </c>
      <c r="G119" s="30" t="s">
        <v>847</v>
      </c>
      <c r="H119" s="42" t="s">
        <v>900</v>
      </c>
      <c r="I119" s="274" t="s">
        <v>57</v>
      </c>
      <c r="J119" s="271">
        <v>1106026</v>
      </c>
      <c r="K119" s="31">
        <v>1049690</v>
      </c>
      <c r="L119" s="31">
        <v>0</v>
      </c>
      <c r="M119" s="160">
        <v>9360</v>
      </c>
      <c r="N119" s="160"/>
      <c r="O119" s="160"/>
      <c r="P119" s="31"/>
      <c r="Q119" s="31">
        <f t="shared" si="7"/>
        <v>9360</v>
      </c>
      <c r="R119" s="32">
        <v>56336</v>
      </c>
      <c r="S119" s="36">
        <v>9</v>
      </c>
      <c r="T119" s="89">
        <v>44214</v>
      </c>
      <c r="U119" s="89">
        <v>44246</v>
      </c>
      <c r="V119" s="32"/>
      <c r="W119" s="35"/>
      <c r="X119" s="36"/>
      <c r="Y119" s="89"/>
      <c r="Z119" s="32"/>
      <c r="AA119" s="35"/>
      <c r="AB119" s="36"/>
      <c r="AC119" s="89"/>
      <c r="AD119" s="270">
        <f t="shared" si="5"/>
        <v>56336</v>
      </c>
      <c r="AE119" s="38">
        <f t="shared" si="6"/>
        <v>46976</v>
      </c>
    </row>
    <row r="120" spans="2:31" s="26" customFormat="1" ht="13.5" customHeight="1" x14ac:dyDescent="0.25">
      <c r="B120" s="276">
        <v>111</v>
      </c>
      <c r="C120" s="276" t="s">
        <v>39</v>
      </c>
      <c r="D120" s="276" t="s">
        <v>1092</v>
      </c>
      <c r="E120" s="279" t="s">
        <v>1093</v>
      </c>
      <c r="F120" s="30" t="s">
        <v>147</v>
      </c>
      <c r="G120" s="30" t="s">
        <v>847</v>
      </c>
      <c r="H120" s="42" t="s">
        <v>918</v>
      </c>
      <c r="I120" s="274" t="s">
        <v>57</v>
      </c>
      <c r="J120" s="271">
        <v>3595094</v>
      </c>
      <c r="K120" s="31">
        <v>3548845</v>
      </c>
      <c r="L120" s="31">
        <v>0</v>
      </c>
      <c r="M120" s="160">
        <v>6329</v>
      </c>
      <c r="N120" s="160"/>
      <c r="O120" s="160"/>
      <c r="P120" s="31"/>
      <c r="Q120" s="31">
        <f t="shared" si="7"/>
        <v>6329</v>
      </c>
      <c r="R120" s="32">
        <v>46249</v>
      </c>
      <c r="S120" s="36">
        <v>9</v>
      </c>
      <c r="T120" s="89">
        <v>44214</v>
      </c>
      <c r="U120" s="89">
        <v>44246</v>
      </c>
      <c r="V120" s="32"/>
      <c r="W120" s="35"/>
      <c r="X120" s="36"/>
      <c r="Y120" s="89"/>
      <c r="Z120" s="32"/>
      <c r="AA120" s="35"/>
      <c r="AB120" s="36"/>
      <c r="AC120" s="89"/>
      <c r="AD120" s="270">
        <f t="shared" si="5"/>
        <v>46249</v>
      </c>
      <c r="AE120" s="38">
        <f t="shared" si="6"/>
        <v>39920</v>
      </c>
    </row>
    <row r="121" spans="2:31" s="26" customFormat="1" ht="13.5" customHeight="1" x14ac:dyDescent="0.25">
      <c r="B121" s="276">
        <v>112</v>
      </c>
      <c r="C121" s="276" t="s">
        <v>39</v>
      </c>
      <c r="D121" s="276" t="s">
        <v>1094</v>
      </c>
      <c r="E121" s="279" t="s">
        <v>1095</v>
      </c>
      <c r="F121" s="30" t="s">
        <v>147</v>
      </c>
      <c r="G121" s="30" t="s">
        <v>847</v>
      </c>
      <c r="H121" s="42" t="s">
        <v>848</v>
      </c>
      <c r="I121" s="274" t="s">
        <v>57</v>
      </c>
      <c r="J121" s="271">
        <v>7037908</v>
      </c>
      <c r="K121" s="31">
        <v>5638060</v>
      </c>
      <c r="L121" s="31">
        <v>34848</v>
      </c>
      <c r="M121" s="160">
        <v>973057</v>
      </c>
      <c r="N121" s="160"/>
      <c r="O121" s="160"/>
      <c r="P121" s="31"/>
      <c r="Q121" s="31">
        <f t="shared" si="7"/>
        <v>973057</v>
      </c>
      <c r="R121" s="32">
        <v>1311400</v>
      </c>
      <c r="S121" s="36">
        <v>9</v>
      </c>
      <c r="T121" s="89">
        <v>44214</v>
      </c>
      <c r="U121" s="89">
        <v>44246</v>
      </c>
      <c r="V121" s="32">
        <v>-326942</v>
      </c>
      <c r="W121" s="35">
        <v>22</v>
      </c>
      <c r="X121" s="41">
        <v>44256</v>
      </c>
      <c r="Y121" s="89">
        <v>44277</v>
      </c>
      <c r="Z121" s="32"/>
      <c r="AA121" s="35"/>
      <c r="AB121" s="41"/>
      <c r="AC121" s="89"/>
      <c r="AD121" s="270">
        <f t="shared" si="5"/>
        <v>984458</v>
      </c>
      <c r="AE121" s="38">
        <f t="shared" si="6"/>
        <v>11401</v>
      </c>
    </row>
    <row r="122" spans="2:31" s="26" customFormat="1" ht="13.5" customHeight="1" x14ac:dyDescent="0.25">
      <c r="B122" s="276">
        <v>113</v>
      </c>
      <c r="C122" s="276" t="s">
        <v>39</v>
      </c>
      <c r="D122" s="276" t="s">
        <v>1096</v>
      </c>
      <c r="E122" s="279" t="s">
        <v>1097</v>
      </c>
      <c r="F122" s="30" t="s">
        <v>147</v>
      </c>
      <c r="G122" s="30" t="s">
        <v>847</v>
      </c>
      <c r="H122" s="42" t="s">
        <v>931</v>
      </c>
      <c r="I122" s="274" t="s">
        <v>72</v>
      </c>
      <c r="J122" s="271">
        <v>485455</v>
      </c>
      <c r="K122" s="31">
        <v>0</v>
      </c>
      <c r="L122" s="31">
        <v>0</v>
      </c>
      <c r="M122" s="160"/>
      <c r="N122" s="160"/>
      <c r="O122" s="160"/>
      <c r="P122" s="31"/>
      <c r="Q122" s="31">
        <f t="shared" si="7"/>
        <v>0</v>
      </c>
      <c r="R122" s="32">
        <v>67270</v>
      </c>
      <c r="S122" s="36">
        <v>9</v>
      </c>
      <c r="T122" s="89">
        <v>44214</v>
      </c>
      <c r="U122" s="89">
        <v>44246</v>
      </c>
      <c r="V122" s="89"/>
      <c r="W122" s="89"/>
      <c r="X122" s="89"/>
      <c r="Y122" s="89"/>
      <c r="Z122" s="32"/>
      <c r="AA122" s="35"/>
      <c r="AB122" s="36"/>
      <c r="AC122" s="89"/>
      <c r="AD122" s="270">
        <f t="shared" si="5"/>
        <v>67270</v>
      </c>
      <c r="AE122" s="38">
        <f t="shared" si="6"/>
        <v>67270</v>
      </c>
    </row>
    <row r="123" spans="2:31" s="26" customFormat="1" ht="13.5" customHeight="1" x14ac:dyDescent="0.25">
      <c r="B123" s="276">
        <v>114</v>
      </c>
      <c r="C123" s="276" t="s">
        <v>39</v>
      </c>
      <c r="D123" s="276" t="s">
        <v>1098</v>
      </c>
      <c r="E123" s="279" t="s">
        <v>1099</v>
      </c>
      <c r="F123" s="30" t="s">
        <v>147</v>
      </c>
      <c r="G123" s="30" t="s">
        <v>847</v>
      </c>
      <c r="H123" s="42" t="s">
        <v>909</v>
      </c>
      <c r="I123" s="274" t="s">
        <v>72</v>
      </c>
      <c r="J123" s="271">
        <v>786405</v>
      </c>
      <c r="K123" s="31">
        <v>262135</v>
      </c>
      <c r="L123" s="31">
        <v>0</v>
      </c>
      <c r="M123" s="160"/>
      <c r="N123" s="160"/>
      <c r="O123" s="160"/>
      <c r="P123" s="31"/>
      <c r="Q123" s="31">
        <f t="shared" si="7"/>
        <v>0</v>
      </c>
      <c r="R123" s="32">
        <v>105000</v>
      </c>
      <c r="S123" s="36">
        <v>9</v>
      </c>
      <c r="T123" s="89">
        <v>44214</v>
      </c>
      <c r="U123" s="89">
        <v>44246</v>
      </c>
      <c r="V123" s="89"/>
      <c r="W123" s="89"/>
      <c r="X123" s="89"/>
      <c r="Y123" s="89"/>
      <c r="Z123" s="32"/>
      <c r="AA123" s="35"/>
      <c r="AB123" s="36"/>
      <c r="AC123" s="89"/>
      <c r="AD123" s="270">
        <f t="shared" si="5"/>
        <v>105000</v>
      </c>
      <c r="AE123" s="38">
        <f t="shared" si="6"/>
        <v>105000</v>
      </c>
    </row>
    <row r="124" spans="2:31" s="26" customFormat="1" ht="13.5" customHeight="1" x14ac:dyDescent="0.25">
      <c r="B124" s="276">
        <v>116</v>
      </c>
      <c r="C124" s="276" t="s">
        <v>39</v>
      </c>
      <c r="D124" s="276" t="s">
        <v>1100</v>
      </c>
      <c r="E124" s="279" t="s">
        <v>1101</v>
      </c>
      <c r="F124" s="30" t="s">
        <v>147</v>
      </c>
      <c r="G124" s="30" t="s">
        <v>847</v>
      </c>
      <c r="H124" s="42" t="s">
        <v>871</v>
      </c>
      <c r="I124" s="274" t="s">
        <v>57</v>
      </c>
      <c r="J124" s="271">
        <v>837754</v>
      </c>
      <c r="K124" s="31">
        <v>18959</v>
      </c>
      <c r="L124" s="31">
        <v>51289</v>
      </c>
      <c r="M124" s="160">
        <v>37000</v>
      </c>
      <c r="N124" s="160">
        <v>46845</v>
      </c>
      <c r="O124" s="160"/>
      <c r="P124" s="31"/>
      <c r="Q124" s="31">
        <f t="shared" si="7"/>
        <v>83845</v>
      </c>
      <c r="R124" s="32">
        <v>413839</v>
      </c>
      <c r="S124" s="36">
        <v>11</v>
      </c>
      <c r="T124" s="89">
        <v>44221</v>
      </c>
      <c r="U124" s="89">
        <v>44246</v>
      </c>
      <c r="V124" s="89"/>
      <c r="W124" s="89"/>
      <c r="X124" s="89"/>
      <c r="Y124" s="89"/>
      <c r="Z124" s="32"/>
      <c r="AA124" s="35"/>
      <c r="AB124" s="36"/>
      <c r="AC124" s="89"/>
      <c r="AD124" s="270">
        <f t="shared" si="5"/>
        <v>413839</v>
      </c>
      <c r="AE124" s="38">
        <f t="shared" si="6"/>
        <v>329994</v>
      </c>
    </row>
    <row r="125" spans="2:31" s="26" customFormat="1" ht="13.5" customHeight="1" x14ac:dyDescent="0.25">
      <c r="B125" s="276">
        <v>117</v>
      </c>
      <c r="C125" s="276" t="s">
        <v>39</v>
      </c>
      <c r="D125" s="276" t="s">
        <v>1102</v>
      </c>
      <c r="E125" s="279" t="s">
        <v>1103</v>
      </c>
      <c r="F125" s="30" t="s">
        <v>147</v>
      </c>
      <c r="G125" s="30" t="s">
        <v>847</v>
      </c>
      <c r="H125" s="42" t="s">
        <v>921</v>
      </c>
      <c r="I125" s="274" t="s">
        <v>72</v>
      </c>
      <c r="J125" s="271">
        <v>16667069</v>
      </c>
      <c r="K125" s="31">
        <v>2118000</v>
      </c>
      <c r="L125" s="31">
        <v>14549069</v>
      </c>
      <c r="M125" s="160"/>
      <c r="N125" s="160"/>
      <c r="O125" s="160"/>
      <c r="P125" s="31"/>
      <c r="Q125" s="31">
        <f t="shared" si="7"/>
        <v>0</v>
      </c>
      <c r="R125" s="32">
        <v>365171</v>
      </c>
      <c r="S125" s="36">
        <v>11</v>
      </c>
      <c r="T125" s="89">
        <v>44221</v>
      </c>
      <c r="U125" s="89">
        <v>44246</v>
      </c>
      <c r="V125" s="89"/>
      <c r="W125" s="89"/>
      <c r="X125" s="89"/>
      <c r="Y125" s="89"/>
      <c r="Z125" s="32"/>
      <c r="AA125" s="35"/>
      <c r="AB125" s="36"/>
      <c r="AC125" s="89"/>
      <c r="AD125" s="270">
        <f t="shared" si="5"/>
        <v>365171</v>
      </c>
      <c r="AE125" s="38">
        <f t="shared" si="6"/>
        <v>365171</v>
      </c>
    </row>
    <row r="126" spans="2:31" s="26" customFormat="1" ht="13.5" customHeight="1" x14ac:dyDescent="0.25">
      <c r="B126" s="276">
        <v>118</v>
      </c>
      <c r="C126" s="276" t="s">
        <v>39</v>
      </c>
      <c r="D126" s="276" t="s">
        <v>1104</v>
      </c>
      <c r="E126" s="279" t="s">
        <v>1105</v>
      </c>
      <c r="F126" s="30" t="s">
        <v>147</v>
      </c>
      <c r="G126" s="30" t="s">
        <v>847</v>
      </c>
      <c r="H126" s="42" t="s">
        <v>879</v>
      </c>
      <c r="I126" s="274" t="s">
        <v>57</v>
      </c>
      <c r="J126" s="271">
        <v>518233</v>
      </c>
      <c r="K126" s="31">
        <v>416883</v>
      </c>
      <c r="L126" s="31">
        <v>0</v>
      </c>
      <c r="M126" s="160"/>
      <c r="N126" s="160"/>
      <c r="O126" s="160"/>
      <c r="P126" s="31"/>
      <c r="Q126" s="31">
        <f t="shared" si="7"/>
        <v>0</v>
      </c>
      <c r="R126" s="32">
        <v>30000</v>
      </c>
      <c r="S126" s="36">
        <v>11</v>
      </c>
      <c r="T126" s="89">
        <v>44221</v>
      </c>
      <c r="U126" s="89">
        <v>44246</v>
      </c>
      <c r="V126" s="89"/>
      <c r="W126" s="89"/>
      <c r="X126" s="89"/>
      <c r="Y126" s="89"/>
      <c r="Z126" s="32"/>
      <c r="AA126" s="35"/>
      <c r="AB126" s="36"/>
      <c r="AC126" s="89"/>
      <c r="AD126" s="270">
        <f t="shared" si="5"/>
        <v>30000</v>
      </c>
      <c r="AE126" s="38">
        <f t="shared" si="6"/>
        <v>30000</v>
      </c>
    </row>
    <row r="127" spans="2:31" s="26" customFormat="1" ht="13.5" customHeight="1" x14ac:dyDescent="0.25">
      <c r="B127" s="276">
        <v>119</v>
      </c>
      <c r="C127" s="276" t="s">
        <v>39</v>
      </c>
      <c r="D127" s="276" t="s">
        <v>1106</v>
      </c>
      <c r="E127" s="279" t="s">
        <v>1107</v>
      </c>
      <c r="F127" s="30" t="s">
        <v>193</v>
      </c>
      <c r="G127" s="30" t="s">
        <v>847</v>
      </c>
      <c r="H127" s="42" t="s">
        <v>879</v>
      </c>
      <c r="I127" s="274" t="s">
        <v>57</v>
      </c>
      <c r="J127" s="271">
        <v>56679</v>
      </c>
      <c r="K127" s="31">
        <v>31288</v>
      </c>
      <c r="L127" s="31">
        <v>0</v>
      </c>
      <c r="M127" s="160"/>
      <c r="N127" s="160"/>
      <c r="O127" s="160"/>
      <c r="P127" s="31"/>
      <c r="Q127" s="31">
        <f t="shared" si="7"/>
        <v>0</v>
      </c>
      <c r="R127" s="32">
        <v>1387</v>
      </c>
      <c r="S127" s="36">
        <v>11</v>
      </c>
      <c r="T127" s="89">
        <v>44221</v>
      </c>
      <c r="U127" s="89">
        <v>44246</v>
      </c>
      <c r="V127" s="89"/>
      <c r="W127" s="89"/>
      <c r="X127" s="89"/>
      <c r="Y127" s="89"/>
      <c r="Z127" s="32"/>
      <c r="AA127" s="35"/>
      <c r="AB127" s="36"/>
      <c r="AC127" s="89"/>
      <c r="AD127" s="270">
        <f t="shared" si="5"/>
        <v>1387</v>
      </c>
      <c r="AE127" s="38">
        <f t="shared" si="6"/>
        <v>1387</v>
      </c>
    </row>
    <row r="128" spans="2:31" s="26" customFormat="1" ht="13.5" customHeight="1" x14ac:dyDescent="0.25">
      <c r="B128" s="276">
        <v>120</v>
      </c>
      <c r="C128" s="276" t="s">
        <v>39</v>
      </c>
      <c r="D128" s="276" t="s">
        <v>1108</v>
      </c>
      <c r="E128" s="279" t="s">
        <v>1109</v>
      </c>
      <c r="F128" s="30" t="s">
        <v>147</v>
      </c>
      <c r="G128" s="30" t="s">
        <v>847</v>
      </c>
      <c r="H128" s="42" t="s">
        <v>879</v>
      </c>
      <c r="I128" s="274" t="s">
        <v>57</v>
      </c>
      <c r="J128" s="271">
        <v>61220</v>
      </c>
      <c r="K128" s="31">
        <v>36368</v>
      </c>
      <c r="L128" s="31">
        <v>0</v>
      </c>
      <c r="M128" s="160"/>
      <c r="N128" s="160"/>
      <c r="O128" s="160"/>
      <c r="P128" s="31"/>
      <c r="Q128" s="31">
        <f t="shared" si="7"/>
        <v>0</v>
      </c>
      <c r="R128" s="32">
        <v>740</v>
      </c>
      <c r="S128" s="36">
        <v>11</v>
      </c>
      <c r="T128" s="89">
        <v>44221</v>
      </c>
      <c r="U128" s="89">
        <v>44246</v>
      </c>
      <c r="V128" s="89"/>
      <c r="W128" s="89"/>
      <c r="X128" s="89"/>
      <c r="Y128" s="89"/>
      <c r="Z128" s="32"/>
      <c r="AA128" s="35"/>
      <c r="AB128" s="36"/>
      <c r="AC128" s="89"/>
      <c r="AD128" s="270">
        <f t="shared" si="5"/>
        <v>740</v>
      </c>
      <c r="AE128" s="38">
        <f t="shared" si="6"/>
        <v>740</v>
      </c>
    </row>
    <row r="129" spans="2:31" s="26" customFormat="1" ht="13.5" customHeight="1" x14ac:dyDescent="0.25">
      <c r="B129" s="276">
        <v>122</v>
      </c>
      <c r="C129" s="276" t="s">
        <v>39</v>
      </c>
      <c r="D129" s="276" t="s">
        <v>1110</v>
      </c>
      <c r="E129" s="279" t="s">
        <v>1111</v>
      </c>
      <c r="F129" s="30" t="s">
        <v>147</v>
      </c>
      <c r="G129" s="30" t="s">
        <v>847</v>
      </c>
      <c r="H129" s="42" t="s">
        <v>893</v>
      </c>
      <c r="I129" s="274" t="s">
        <v>72</v>
      </c>
      <c r="J129" s="271">
        <v>1019076</v>
      </c>
      <c r="K129" s="31">
        <v>0</v>
      </c>
      <c r="L129" s="31">
        <v>962839</v>
      </c>
      <c r="M129" s="160"/>
      <c r="N129" s="160"/>
      <c r="O129" s="160"/>
      <c r="P129" s="31"/>
      <c r="Q129" s="31">
        <f t="shared" si="7"/>
        <v>0</v>
      </c>
      <c r="R129" s="32">
        <v>2</v>
      </c>
      <c r="S129" s="36">
        <v>11</v>
      </c>
      <c r="T129" s="89">
        <v>44221</v>
      </c>
      <c r="U129" s="89">
        <v>44246</v>
      </c>
      <c r="V129" s="89"/>
      <c r="W129" s="89"/>
      <c r="X129" s="89"/>
      <c r="Y129" s="89"/>
      <c r="Z129" s="32"/>
      <c r="AA129" s="35"/>
      <c r="AB129" s="36"/>
      <c r="AC129" s="89"/>
      <c r="AD129" s="270">
        <f t="shared" si="5"/>
        <v>2</v>
      </c>
      <c r="AE129" s="38">
        <f t="shared" si="6"/>
        <v>2</v>
      </c>
    </row>
    <row r="130" spans="2:31" s="26" customFormat="1" ht="13.5" customHeight="1" x14ac:dyDescent="0.25">
      <c r="B130" s="276">
        <v>125</v>
      </c>
      <c r="C130" s="276" t="s">
        <v>39</v>
      </c>
      <c r="D130" s="276" t="s">
        <v>1112</v>
      </c>
      <c r="E130" s="279" t="s">
        <v>1113</v>
      </c>
      <c r="F130" s="30" t="s">
        <v>147</v>
      </c>
      <c r="G130" s="30" t="s">
        <v>847</v>
      </c>
      <c r="H130" s="42" t="s">
        <v>868</v>
      </c>
      <c r="I130" s="274" t="s">
        <v>57</v>
      </c>
      <c r="J130" s="271">
        <v>3981273</v>
      </c>
      <c r="K130" s="31">
        <v>224705</v>
      </c>
      <c r="L130" s="31">
        <v>1010000</v>
      </c>
      <c r="M130" s="160"/>
      <c r="N130" s="160">
        <v>483379</v>
      </c>
      <c r="O130" s="160">
        <f>9234+662063</f>
        <v>671297</v>
      </c>
      <c r="P130" s="31"/>
      <c r="Q130" s="31">
        <f t="shared" si="7"/>
        <v>1154676</v>
      </c>
      <c r="R130" s="32">
        <v>812000</v>
      </c>
      <c r="S130" s="36">
        <v>13</v>
      </c>
      <c r="T130" s="89">
        <v>44221</v>
      </c>
      <c r="U130" s="89">
        <v>44249</v>
      </c>
      <c r="V130" s="32">
        <v>1018000</v>
      </c>
      <c r="W130" s="35">
        <v>22</v>
      </c>
      <c r="X130" s="41">
        <v>44256</v>
      </c>
      <c r="Y130" s="89">
        <v>44277</v>
      </c>
      <c r="Z130" s="32"/>
      <c r="AA130" s="35"/>
      <c r="AB130" s="41"/>
      <c r="AC130" s="89"/>
      <c r="AD130" s="270">
        <f t="shared" si="5"/>
        <v>1830000</v>
      </c>
      <c r="AE130" s="38">
        <f>+AD130-Q130</f>
        <v>675324</v>
      </c>
    </row>
    <row r="131" spans="2:31" s="26" customFormat="1" ht="13.5" customHeight="1" x14ac:dyDescent="0.25">
      <c r="B131" s="276">
        <v>130</v>
      </c>
      <c r="C131" s="276" t="s">
        <v>39</v>
      </c>
      <c r="D131" s="226" t="s">
        <v>1114</v>
      </c>
      <c r="E131" s="280" t="s">
        <v>1115</v>
      </c>
      <c r="F131" s="30" t="s">
        <v>54</v>
      </c>
      <c r="G131" s="30" t="s">
        <v>847</v>
      </c>
      <c r="H131" s="42" t="s">
        <v>848</v>
      </c>
      <c r="I131" s="274" t="s">
        <v>72</v>
      </c>
      <c r="J131" s="271">
        <v>1010950</v>
      </c>
      <c r="K131" s="31">
        <v>0</v>
      </c>
      <c r="L131" s="31">
        <v>0</v>
      </c>
      <c r="M131" s="160"/>
      <c r="N131" s="160"/>
      <c r="O131" s="160"/>
      <c r="P131" s="31"/>
      <c r="Q131" s="31">
        <f t="shared" si="7"/>
        <v>0</v>
      </c>
      <c r="R131" s="32">
        <v>2</v>
      </c>
      <c r="S131" s="33">
        <v>15</v>
      </c>
      <c r="T131" s="89">
        <v>44228</v>
      </c>
      <c r="U131" s="89">
        <v>44260</v>
      </c>
      <c r="V131" s="89"/>
      <c r="W131" s="89"/>
      <c r="X131" s="89"/>
      <c r="Y131" s="89"/>
      <c r="Z131" s="32"/>
      <c r="AA131" s="35"/>
      <c r="AB131" s="36"/>
      <c r="AC131" s="89"/>
      <c r="AD131" s="270">
        <f t="shared" si="5"/>
        <v>2</v>
      </c>
      <c r="AE131" s="38">
        <f t="shared" si="6"/>
        <v>2</v>
      </c>
    </row>
    <row r="132" spans="2:31" s="26" customFormat="1" ht="13.5" customHeight="1" x14ac:dyDescent="0.25">
      <c r="B132" s="276">
        <v>131</v>
      </c>
      <c r="C132" s="276" t="s">
        <v>39</v>
      </c>
      <c r="D132" s="226" t="s">
        <v>1116</v>
      </c>
      <c r="E132" s="280" t="s">
        <v>1117</v>
      </c>
      <c r="F132" s="30" t="s">
        <v>54</v>
      </c>
      <c r="G132" s="30" t="s">
        <v>847</v>
      </c>
      <c r="H132" s="42" t="s">
        <v>1038</v>
      </c>
      <c r="I132" s="274" t="s">
        <v>72</v>
      </c>
      <c r="J132" s="271">
        <v>4210440</v>
      </c>
      <c r="K132" s="31">
        <v>0</v>
      </c>
      <c r="L132" s="31">
        <v>1189440</v>
      </c>
      <c r="M132" s="160"/>
      <c r="N132" s="160"/>
      <c r="O132" s="160"/>
      <c r="P132" s="31"/>
      <c r="Q132" s="31">
        <f t="shared" si="7"/>
        <v>0</v>
      </c>
      <c r="R132" s="32">
        <v>2</v>
      </c>
      <c r="S132" s="33">
        <v>15</v>
      </c>
      <c r="T132" s="89">
        <v>44228</v>
      </c>
      <c r="U132" s="89">
        <v>44260</v>
      </c>
      <c r="V132" s="89"/>
      <c r="W132" s="89"/>
      <c r="X132" s="89"/>
      <c r="Y132" s="89"/>
      <c r="Z132" s="32"/>
      <c r="AA132" s="35"/>
      <c r="AB132" s="36"/>
      <c r="AC132" s="89"/>
      <c r="AD132" s="270">
        <f t="shared" si="5"/>
        <v>2</v>
      </c>
      <c r="AE132" s="38">
        <f t="shared" si="6"/>
        <v>2</v>
      </c>
    </row>
    <row r="133" spans="2:31" s="26" customFormat="1" ht="13.5" customHeight="1" x14ac:dyDescent="0.25">
      <c r="B133" s="276">
        <v>132</v>
      </c>
      <c r="C133" s="276" t="s">
        <v>39</v>
      </c>
      <c r="D133" s="226" t="s">
        <v>1118</v>
      </c>
      <c r="E133" s="280" t="s">
        <v>1119</v>
      </c>
      <c r="F133" s="30" t="s">
        <v>54</v>
      </c>
      <c r="G133" s="30" t="s">
        <v>847</v>
      </c>
      <c r="H133" s="42" t="s">
        <v>1049</v>
      </c>
      <c r="I133" s="274" t="s">
        <v>72</v>
      </c>
      <c r="J133" s="271">
        <v>374156</v>
      </c>
      <c r="K133" s="31">
        <v>0</v>
      </c>
      <c r="L133" s="31">
        <v>372605</v>
      </c>
      <c r="M133" s="160"/>
      <c r="N133" s="160"/>
      <c r="O133" s="160"/>
      <c r="P133" s="31"/>
      <c r="Q133" s="31">
        <f t="shared" si="7"/>
        <v>0</v>
      </c>
      <c r="R133" s="32">
        <v>2</v>
      </c>
      <c r="S133" s="33">
        <v>15</v>
      </c>
      <c r="T133" s="89">
        <v>44228</v>
      </c>
      <c r="U133" s="89">
        <v>44260</v>
      </c>
      <c r="V133" s="89"/>
      <c r="W133" s="89"/>
      <c r="X133" s="89"/>
      <c r="Y133" s="89"/>
      <c r="Z133" s="32"/>
      <c r="AA133" s="35"/>
      <c r="AB133" s="36"/>
      <c r="AC133" s="89"/>
      <c r="AD133" s="270">
        <f t="shared" si="5"/>
        <v>2</v>
      </c>
      <c r="AE133" s="38">
        <f t="shared" si="6"/>
        <v>2</v>
      </c>
    </row>
    <row r="134" spans="2:31" s="26" customFormat="1" ht="13.5" customHeight="1" x14ac:dyDescent="0.25">
      <c r="B134" s="276">
        <v>133</v>
      </c>
      <c r="C134" s="276" t="s">
        <v>39</v>
      </c>
      <c r="D134" s="226" t="s">
        <v>1120</v>
      </c>
      <c r="E134" s="280" t="s">
        <v>1121</v>
      </c>
      <c r="F134" s="30" t="s">
        <v>54</v>
      </c>
      <c r="G134" s="30" t="s">
        <v>847</v>
      </c>
      <c r="H134" s="42" t="s">
        <v>1035</v>
      </c>
      <c r="I134" s="274" t="s">
        <v>72</v>
      </c>
      <c r="J134" s="271">
        <v>581883</v>
      </c>
      <c r="K134" s="31">
        <v>0</v>
      </c>
      <c r="L134" s="31">
        <v>54922</v>
      </c>
      <c r="M134" s="160"/>
      <c r="N134" s="160"/>
      <c r="O134" s="160"/>
      <c r="P134" s="31"/>
      <c r="Q134" s="31">
        <f t="shared" si="7"/>
        <v>0</v>
      </c>
      <c r="R134" s="32">
        <v>2</v>
      </c>
      <c r="S134" s="33">
        <v>15</v>
      </c>
      <c r="T134" s="89">
        <v>44228</v>
      </c>
      <c r="U134" s="89">
        <v>44260</v>
      </c>
      <c r="V134" s="89"/>
      <c r="W134" s="89"/>
      <c r="X134" s="89"/>
      <c r="Y134" s="89"/>
      <c r="Z134" s="32"/>
      <c r="AA134" s="35"/>
      <c r="AB134" s="36"/>
      <c r="AC134" s="89"/>
      <c r="AD134" s="270">
        <f t="shared" si="5"/>
        <v>2</v>
      </c>
      <c r="AE134" s="38">
        <f t="shared" si="6"/>
        <v>2</v>
      </c>
    </row>
    <row r="135" spans="2:31" s="26" customFormat="1" ht="13.5" customHeight="1" x14ac:dyDescent="0.25">
      <c r="B135" s="276">
        <v>134</v>
      </c>
      <c r="C135" s="276" t="s">
        <v>39</v>
      </c>
      <c r="D135" s="226" t="s">
        <v>1122</v>
      </c>
      <c r="E135" s="280" t="s">
        <v>1123</v>
      </c>
      <c r="F135" s="30" t="s">
        <v>54</v>
      </c>
      <c r="G135" s="30" t="s">
        <v>847</v>
      </c>
      <c r="H135" s="42" t="s">
        <v>860</v>
      </c>
      <c r="I135" s="274" t="s">
        <v>72</v>
      </c>
      <c r="J135" s="271">
        <v>601714</v>
      </c>
      <c r="K135" s="31">
        <v>0</v>
      </c>
      <c r="L135" s="31">
        <v>0</v>
      </c>
      <c r="M135" s="160"/>
      <c r="N135" s="160"/>
      <c r="O135" s="160"/>
      <c r="P135" s="31"/>
      <c r="Q135" s="31">
        <f t="shared" si="7"/>
        <v>0</v>
      </c>
      <c r="R135" s="32">
        <v>2</v>
      </c>
      <c r="S135" s="33">
        <v>15</v>
      </c>
      <c r="T135" s="89">
        <v>44228</v>
      </c>
      <c r="U135" s="89">
        <v>44260</v>
      </c>
      <c r="V135" s="89"/>
      <c r="W135" s="89"/>
      <c r="X135" s="89"/>
      <c r="Y135" s="89"/>
      <c r="Z135" s="32"/>
      <c r="AA135" s="35"/>
      <c r="AB135" s="36"/>
      <c r="AC135" s="89"/>
      <c r="AD135" s="270">
        <f t="shared" si="5"/>
        <v>2</v>
      </c>
      <c r="AE135" s="38">
        <f t="shared" si="6"/>
        <v>2</v>
      </c>
    </row>
    <row r="136" spans="2:31" s="26" customFormat="1" ht="13.5" customHeight="1" x14ac:dyDescent="0.25">
      <c r="B136" s="276">
        <v>135</v>
      </c>
      <c r="C136" s="276" t="s">
        <v>39</v>
      </c>
      <c r="D136" s="226" t="s">
        <v>1124</v>
      </c>
      <c r="E136" s="280" t="s">
        <v>1125</v>
      </c>
      <c r="F136" s="30" t="s">
        <v>54</v>
      </c>
      <c r="G136" s="30" t="s">
        <v>847</v>
      </c>
      <c r="H136" s="42" t="s">
        <v>912</v>
      </c>
      <c r="I136" s="274" t="s">
        <v>72</v>
      </c>
      <c r="J136" s="271">
        <v>373536</v>
      </c>
      <c r="K136" s="31">
        <v>0</v>
      </c>
      <c r="L136" s="31">
        <v>129672</v>
      </c>
      <c r="M136" s="160"/>
      <c r="N136" s="160"/>
      <c r="O136" s="160"/>
      <c r="P136" s="31"/>
      <c r="Q136" s="31">
        <f t="shared" si="7"/>
        <v>0</v>
      </c>
      <c r="R136" s="32">
        <v>2</v>
      </c>
      <c r="S136" s="33">
        <v>15</v>
      </c>
      <c r="T136" s="89">
        <v>44228</v>
      </c>
      <c r="U136" s="89">
        <v>44260</v>
      </c>
      <c r="V136" s="89"/>
      <c r="W136" s="89"/>
      <c r="X136" s="89"/>
      <c r="Y136" s="89"/>
      <c r="Z136" s="32"/>
      <c r="AA136" s="35"/>
      <c r="AB136" s="36"/>
      <c r="AC136" s="89"/>
      <c r="AD136" s="270">
        <f t="shared" si="5"/>
        <v>2</v>
      </c>
      <c r="AE136" s="38">
        <f t="shared" si="6"/>
        <v>2</v>
      </c>
    </row>
    <row r="137" spans="2:31" s="26" customFormat="1" ht="13.5" customHeight="1" x14ac:dyDescent="0.25">
      <c r="B137" s="276">
        <v>136</v>
      </c>
      <c r="C137" s="276" t="s">
        <v>39</v>
      </c>
      <c r="D137" s="226" t="s">
        <v>1126</v>
      </c>
      <c r="E137" s="280" t="s">
        <v>1127</v>
      </c>
      <c r="F137" s="30" t="s">
        <v>54</v>
      </c>
      <c r="G137" s="30" t="s">
        <v>847</v>
      </c>
      <c r="H137" s="42" t="s">
        <v>912</v>
      </c>
      <c r="I137" s="274" t="s">
        <v>72</v>
      </c>
      <c r="J137" s="271">
        <v>447388</v>
      </c>
      <c r="K137" s="31">
        <v>0</v>
      </c>
      <c r="L137" s="31">
        <v>104341</v>
      </c>
      <c r="M137" s="160"/>
      <c r="N137" s="160"/>
      <c r="O137" s="160"/>
      <c r="P137" s="31"/>
      <c r="Q137" s="31">
        <f t="shared" si="7"/>
        <v>0</v>
      </c>
      <c r="R137" s="32">
        <v>2</v>
      </c>
      <c r="S137" s="33">
        <v>15</v>
      </c>
      <c r="T137" s="89">
        <v>44228</v>
      </c>
      <c r="U137" s="89">
        <v>44260</v>
      </c>
      <c r="V137" s="89"/>
      <c r="W137" s="89"/>
      <c r="X137" s="89"/>
      <c r="Y137" s="89"/>
      <c r="Z137" s="32"/>
      <c r="AA137" s="35"/>
      <c r="AB137" s="36"/>
      <c r="AC137" s="89"/>
      <c r="AD137" s="270">
        <f t="shared" si="5"/>
        <v>2</v>
      </c>
      <c r="AE137" s="38">
        <f t="shared" si="6"/>
        <v>2</v>
      </c>
    </row>
    <row r="138" spans="2:31" s="26" customFormat="1" ht="13.5" customHeight="1" x14ac:dyDescent="0.25">
      <c r="B138" s="276">
        <v>137</v>
      </c>
      <c r="C138" s="276" t="s">
        <v>39</v>
      </c>
      <c r="D138" s="226" t="s">
        <v>1128</v>
      </c>
      <c r="E138" s="280" t="s">
        <v>1129</v>
      </c>
      <c r="F138" s="30" t="s">
        <v>54</v>
      </c>
      <c r="G138" s="30" t="s">
        <v>847</v>
      </c>
      <c r="H138" s="42" t="s">
        <v>912</v>
      </c>
      <c r="I138" s="274" t="s">
        <v>72</v>
      </c>
      <c r="J138" s="271">
        <v>349394</v>
      </c>
      <c r="K138" s="31">
        <v>0</v>
      </c>
      <c r="L138" s="31">
        <v>115243</v>
      </c>
      <c r="M138" s="160"/>
      <c r="N138" s="160"/>
      <c r="O138" s="160"/>
      <c r="P138" s="31"/>
      <c r="Q138" s="31">
        <f t="shared" si="7"/>
        <v>0</v>
      </c>
      <c r="R138" s="32">
        <v>2</v>
      </c>
      <c r="S138" s="33">
        <v>15</v>
      </c>
      <c r="T138" s="89">
        <v>44228</v>
      </c>
      <c r="U138" s="89">
        <v>44260</v>
      </c>
      <c r="V138" s="89"/>
      <c r="W138" s="89"/>
      <c r="X138" s="89"/>
      <c r="Y138" s="89"/>
      <c r="Z138" s="32"/>
      <c r="AA138" s="35"/>
      <c r="AB138" s="36"/>
      <c r="AC138" s="89"/>
      <c r="AD138" s="270">
        <f t="shared" si="5"/>
        <v>2</v>
      </c>
      <c r="AE138" s="38">
        <f t="shared" si="6"/>
        <v>2</v>
      </c>
    </row>
    <row r="139" spans="2:31" s="26" customFormat="1" ht="13.5" customHeight="1" x14ac:dyDescent="0.25">
      <c r="B139" s="276">
        <v>138</v>
      </c>
      <c r="C139" s="276" t="s">
        <v>39</v>
      </c>
      <c r="D139" s="226" t="s">
        <v>1130</v>
      </c>
      <c r="E139" s="280" t="s">
        <v>1131</v>
      </c>
      <c r="F139" s="30" t="s">
        <v>54</v>
      </c>
      <c r="G139" s="30" t="s">
        <v>847</v>
      </c>
      <c r="H139" s="42" t="s">
        <v>912</v>
      </c>
      <c r="I139" s="274" t="s">
        <v>72</v>
      </c>
      <c r="J139" s="271">
        <v>969131</v>
      </c>
      <c r="K139" s="31">
        <v>0</v>
      </c>
      <c r="L139" s="31">
        <v>384684</v>
      </c>
      <c r="M139" s="160"/>
      <c r="N139" s="160"/>
      <c r="O139" s="160"/>
      <c r="P139" s="31"/>
      <c r="Q139" s="31">
        <f t="shared" ref="Q139:Q169" si="8">SUM(M139:P139)</f>
        <v>0</v>
      </c>
      <c r="R139" s="32">
        <v>2</v>
      </c>
      <c r="S139" s="33">
        <v>15</v>
      </c>
      <c r="T139" s="89">
        <v>44228</v>
      </c>
      <c r="U139" s="89">
        <v>44260</v>
      </c>
      <c r="V139" s="89"/>
      <c r="W139" s="89"/>
      <c r="X139" s="89"/>
      <c r="Y139" s="89"/>
      <c r="Z139" s="32"/>
      <c r="AA139" s="35"/>
      <c r="AB139" s="36"/>
      <c r="AC139" s="89"/>
      <c r="AD139" s="270">
        <f t="shared" si="5"/>
        <v>2</v>
      </c>
      <c r="AE139" s="38">
        <f t="shared" si="6"/>
        <v>2</v>
      </c>
    </row>
    <row r="140" spans="2:31" s="26" customFormat="1" ht="13.5" customHeight="1" x14ac:dyDescent="0.25">
      <c r="B140" s="276">
        <v>139</v>
      </c>
      <c r="C140" s="276" t="s">
        <v>39</v>
      </c>
      <c r="D140" s="226" t="s">
        <v>1132</v>
      </c>
      <c r="E140" s="280" t="s">
        <v>1133</v>
      </c>
      <c r="F140" s="30" t="s">
        <v>60</v>
      </c>
      <c r="G140" s="30" t="s">
        <v>847</v>
      </c>
      <c r="H140" s="42" t="s">
        <v>909</v>
      </c>
      <c r="I140" s="274" t="s">
        <v>72</v>
      </c>
      <c r="J140" s="271">
        <v>25562</v>
      </c>
      <c r="K140" s="31">
        <v>0</v>
      </c>
      <c r="L140" s="31">
        <v>12014</v>
      </c>
      <c r="M140" s="160"/>
      <c r="N140" s="160"/>
      <c r="O140" s="160"/>
      <c r="P140" s="31"/>
      <c r="Q140" s="31">
        <f t="shared" si="8"/>
        <v>0</v>
      </c>
      <c r="R140" s="32">
        <v>1</v>
      </c>
      <c r="S140" s="33">
        <v>15</v>
      </c>
      <c r="T140" s="89">
        <v>44228</v>
      </c>
      <c r="U140" s="89">
        <v>44260</v>
      </c>
      <c r="V140" s="89"/>
      <c r="W140" s="89"/>
      <c r="X140" s="89"/>
      <c r="Y140" s="89"/>
      <c r="Z140" s="32"/>
      <c r="AA140" s="35"/>
      <c r="AB140" s="36"/>
      <c r="AC140" s="89"/>
      <c r="AD140" s="270">
        <f t="shared" si="5"/>
        <v>1</v>
      </c>
      <c r="AE140" s="38">
        <f t="shared" si="6"/>
        <v>1</v>
      </c>
    </row>
    <row r="141" spans="2:31" s="26" customFormat="1" ht="13.5" customHeight="1" x14ac:dyDescent="0.25">
      <c r="B141" s="276">
        <v>140</v>
      </c>
      <c r="C141" s="276" t="s">
        <v>39</v>
      </c>
      <c r="D141" s="226" t="s">
        <v>1134</v>
      </c>
      <c r="E141" s="280" t="s">
        <v>1135</v>
      </c>
      <c r="F141" s="30" t="s">
        <v>60</v>
      </c>
      <c r="G141" s="30" t="s">
        <v>847</v>
      </c>
      <c r="H141" s="42" t="s">
        <v>909</v>
      </c>
      <c r="I141" s="274" t="s">
        <v>72</v>
      </c>
      <c r="J141" s="271">
        <v>43456</v>
      </c>
      <c r="K141" s="31">
        <v>0</v>
      </c>
      <c r="L141" s="31">
        <v>0</v>
      </c>
      <c r="M141" s="160"/>
      <c r="N141" s="160"/>
      <c r="O141" s="160"/>
      <c r="P141" s="31"/>
      <c r="Q141" s="31">
        <f t="shared" si="8"/>
        <v>0</v>
      </c>
      <c r="R141" s="32">
        <v>1</v>
      </c>
      <c r="S141" s="33">
        <v>15</v>
      </c>
      <c r="T141" s="89">
        <v>44228</v>
      </c>
      <c r="U141" s="89">
        <v>44260</v>
      </c>
      <c r="V141" s="89"/>
      <c r="W141" s="89"/>
      <c r="X141" s="89"/>
      <c r="Y141" s="89"/>
      <c r="Z141" s="32"/>
      <c r="AA141" s="35"/>
      <c r="AB141" s="36"/>
      <c r="AC141" s="89"/>
      <c r="AD141" s="270">
        <f t="shared" ref="AD141:AD189" si="9">+R141+V141+Z141</f>
        <v>1</v>
      </c>
      <c r="AE141" s="38">
        <f t="shared" ref="AE141:AE189" si="10">+AD141-Q141</f>
        <v>1</v>
      </c>
    </row>
    <row r="142" spans="2:31" s="26" customFormat="1" ht="13.5" customHeight="1" x14ac:dyDescent="0.25">
      <c r="B142" s="276">
        <v>141</v>
      </c>
      <c r="C142" s="276" t="s">
        <v>39</v>
      </c>
      <c r="D142" s="226" t="s">
        <v>1136</v>
      </c>
      <c r="E142" s="280" t="s">
        <v>1137</v>
      </c>
      <c r="F142" s="30" t="s">
        <v>54</v>
      </c>
      <c r="G142" s="30" t="s">
        <v>847</v>
      </c>
      <c r="H142" s="42" t="s">
        <v>915</v>
      </c>
      <c r="I142" s="274" t="s">
        <v>72</v>
      </c>
      <c r="J142" s="271">
        <v>244565</v>
      </c>
      <c r="K142" s="31">
        <v>0</v>
      </c>
      <c r="L142" s="31">
        <v>0</v>
      </c>
      <c r="M142" s="160"/>
      <c r="N142" s="160"/>
      <c r="O142" s="160"/>
      <c r="P142" s="31"/>
      <c r="Q142" s="31">
        <f t="shared" si="8"/>
        <v>0</v>
      </c>
      <c r="R142" s="32">
        <v>2</v>
      </c>
      <c r="S142" s="33">
        <v>15</v>
      </c>
      <c r="T142" s="89">
        <v>44228</v>
      </c>
      <c r="U142" s="89">
        <v>44260</v>
      </c>
      <c r="V142" s="89"/>
      <c r="W142" s="89"/>
      <c r="X142" s="89"/>
      <c r="Y142" s="89"/>
      <c r="Z142" s="32"/>
      <c r="AA142" s="35"/>
      <c r="AB142" s="36"/>
      <c r="AC142" s="89"/>
      <c r="AD142" s="270">
        <f t="shared" si="9"/>
        <v>2</v>
      </c>
      <c r="AE142" s="38">
        <f t="shared" si="10"/>
        <v>2</v>
      </c>
    </row>
    <row r="143" spans="2:31" s="26" customFormat="1" ht="13.5" customHeight="1" x14ac:dyDescent="0.25">
      <c r="B143" s="276">
        <v>142</v>
      </c>
      <c r="C143" s="276" t="s">
        <v>39</v>
      </c>
      <c r="D143" s="226" t="s">
        <v>1138</v>
      </c>
      <c r="E143" s="280" t="s">
        <v>1139</v>
      </c>
      <c r="F143" s="30" t="s">
        <v>54</v>
      </c>
      <c r="G143" s="30" t="s">
        <v>847</v>
      </c>
      <c r="H143" s="42" t="s">
        <v>966</v>
      </c>
      <c r="I143" s="274" t="s">
        <v>72</v>
      </c>
      <c r="J143" s="271">
        <v>329571</v>
      </c>
      <c r="K143" s="31">
        <v>0</v>
      </c>
      <c r="L143" s="31">
        <v>327524</v>
      </c>
      <c r="M143" s="160"/>
      <c r="N143" s="160"/>
      <c r="O143" s="160"/>
      <c r="P143" s="31"/>
      <c r="Q143" s="31">
        <f t="shared" si="8"/>
        <v>0</v>
      </c>
      <c r="R143" s="32">
        <v>2</v>
      </c>
      <c r="S143" s="33">
        <v>15</v>
      </c>
      <c r="T143" s="89">
        <v>44228</v>
      </c>
      <c r="U143" s="89">
        <v>44260</v>
      </c>
      <c r="V143" s="89"/>
      <c r="W143" s="89"/>
      <c r="X143" s="89"/>
      <c r="Y143" s="89"/>
      <c r="Z143" s="32"/>
      <c r="AA143" s="35"/>
      <c r="AB143" s="36"/>
      <c r="AC143" s="89"/>
      <c r="AD143" s="270">
        <f t="shared" si="9"/>
        <v>2</v>
      </c>
      <c r="AE143" s="38">
        <f t="shared" si="10"/>
        <v>2</v>
      </c>
    </row>
    <row r="144" spans="2:31" s="26" customFormat="1" ht="13.5" customHeight="1" x14ac:dyDescent="0.25">
      <c r="B144" s="276">
        <v>143</v>
      </c>
      <c r="C144" s="276" t="s">
        <v>39</v>
      </c>
      <c r="D144" s="226" t="s">
        <v>1140</v>
      </c>
      <c r="E144" s="280" t="s">
        <v>1141</v>
      </c>
      <c r="F144" s="30" t="s">
        <v>54</v>
      </c>
      <c r="G144" s="30" t="s">
        <v>847</v>
      </c>
      <c r="H144" s="42" t="s">
        <v>900</v>
      </c>
      <c r="I144" s="274" t="s">
        <v>72</v>
      </c>
      <c r="J144" s="271">
        <v>910812</v>
      </c>
      <c r="K144" s="31">
        <v>0</v>
      </c>
      <c r="L144" s="31">
        <v>0</v>
      </c>
      <c r="M144" s="160"/>
      <c r="N144" s="160"/>
      <c r="O144" s="160"/>
      <c r="P144" s="31"/>
      <c r="Q144" s="31">
        <f t="shared" si="8"/>
        <v>0</v>
      </c>
      <c r="R144" s="32">
        <v>2</v>
      </c>
      <c r="S144" s="33">
        <v>15</v>
      </c>
      <c r="T144" s="89">
        <v>44228</v>
      </c>
      <c r="U144" s="89">
        <v>44260</v>
      </c>
      <c r="V144" s="89"/>
      <c r="W144" s="89"/>
      <c r="X144" s="89"/>
      <c r="Y144" s="89"/>
      <c r="Z144" s="32"/>
      <c r="AA144" s="35"/>
      <c r="AB144" s="36"/>
      <c r="AC144" s="89"/>
      <c r="AD144" s="270">
        <f t="shared" si="9"/>
        <v>2</v>
      </c>
      <c r="AE144" s="38">
        <f t="shared" si="10"/>
        <v>2</v>
      </c>
    </row>
    <row r="145" spans="2:31" s="26" customFormat="1" ht="13.5" customHeight="1" x14ac:dyDescent="0.25">
      <c r="B145" s="276">
        <v>144</v>
      </c>
      <c r="C145" s="276" t="s">
        <v>39</v>
      </c>
      <c r="D145" s="226" t="s">
        <v>1142</v>
      </c>
      <c r="E145" s="280" t="s">
        <v>1143</v>
      </c>
      <c r="F145" s="30" t="s">
        <v>60</v>
      </c>
      <c r="G145" s="30" t="s">
        <v>847</v>
      </c>
      <c r="H145" s="42" t="s">
        <v>975</v>
      </c>
      <c r="I145" s="274" t="s">
        <v>72</v>
      </c>
      <c r="J145" s="271">
        <v>140714</v>
      </c>
      <c r="K145" s="31">
        <v>0</v>
      </c>
      <c r="L145" s="31">
        <v>96748</v>
      </c>
      <c r="M145" s="160"/>
      <c r="N145" s="160"/>
      <c r="O145" s="160"/>
      <c r="P145" s="31"/>
      <c r="Q145" s="31">
        <f t="shared" si="8"/>
        <v>0</v>
      </c>
      <c r="R145" s="32">
        <v>1</v>
      </c>
      <c r="S145" s="33">
        <v>15</v>
      </c>
      <c r="T145" s="89">
        <v>44228</v>
      </c>
      <c r="U145" s="89">
        <v>44260</v>
      </c>
      <c r="V145" s="89"/>
      <c r="W145" s="89"/>
      <c r="X145" s="89"/>
      <c r="Y145" s="89"/>
      <c r="Z145" s="32"/>
      <c r="AA145" s="35"/>
      <c r="AB145" s="36"/>
      <c r="AC145" s="89"/>
      <c r="AD145" s="270">
        <f t="shared" si="9"/>
        <v>1</v>
      </c>
      <c r="AE145" s="38">
        <f t="shared" si="10"/>
        <v>1</v>
      </c>
    </row>
    <row r="146" spans="2:31" s="26" customFormat="1" ht="13.5" customHeight="1" x14ac:dyDescent="0.25">
      <c r="B146" s="276">
        <v>145</v>
      </c>
      <c r="C146" s="276" t="s">
        <v>39</v>
      </c>
      <c r="D146" s="226" t="s">
        <v>1144</v>
      </c>
      <c r="E146" s="280" t="s">
        <v>1145</v>
      </c>
      <c r="F146" s="30" t="s">
        <v>54</v>
      </c>
      <c r="G146" s="30" t="s">
        <v>847</v>
      </c>
      <c r="H146" s="42" t="s">
        <v>975</v>
      </c>
      <c r="I146" s="274" t="s">
        <v>72</v>
      </c>
      <c r="J146" s="271">
        <v>461362</v>
      </c>
      <c r="K146" s="31">
        <v>0</v>
      </c>
      <c r="L146" s="31">
        <v>358601</v>
      </c>
      <c r="M146" s="160"/>
      <c r="N146" s="160"/>
      <c r="O146" s="160"/>
      <c r="P146" s="31"/>
      <c r="Q146" s="31">
        <f t="shared" si="8"/>
        <v>0</v>
      </c>
      <c r="R146" s="32">
        <v>2</v>
      </c>
      <c r="S146" s="33">
        <v>15</v>
      </c>
      <c r="T146" s="89">
        <v>44228</v>
      </c>
      <c r="U146" s="89">
        <v>44260</v>
      </c>
      <c r="V146" s="89"/>
      <c r="W146" s="89"/>
      <c r="X146" s="89"/>
      <c r="Y146" s="89"/>
      <c r="Z146" s="32"/>
      <c r="AA146" s="35"/>
      <c r="AB146" s="36"/>
      <c r="AC146" s="89"/>
      <c r="AD146" s="270">
        <f t="shared" si="9"/>
        <v>2</v>
      </c>
      <c r="AE146" s="38">
        <f t="shared" si="10"/>
        <v>2</v>
      </c>
    </row>
    <row r="147" spans="2:31" s="26" customFormat="1" ht="13.5" customHeight="1" x14ac:dyDescent="0.25">
      <c r="B147" s="276">
        <v>146</v>
      </c>
      <c r="C147" s="276" t="s">
        <v>39</v>
      </c>
      <c r="D147" s="226" t="s">
        <v>1146</v>
      </c>
      <c r="E147" s="280" t="s">
        <v>1147</v>
      </c>
      <c r="F147" s="30" t="s">
        <v>54</v>
      </c>
      <c r="G147" s="30" t="s">
        <v>847</v>
      </c>
      <c r="H147" s="42" t="s">
        <v>884</v>
      </c>
      <c r="I147" s="274" t="s">
        <v>72</v>
      </c>
      <c r="J147" s="271">
        <v>722145</v>
      </c>
      <c r="K147" s="31">
        <v>0</v>
      </c>
      <c r="L147" s="31">
        <v>10215</v>
      </c>
      <c r="M147" s="160"/>
      <c r="N147" s="160"/>
      <c r="O147" s="160"/>
      <c r="P147" s="31"/>
      <c r="Q147" s="31">
        <f t="shared" si="8"/>
        <v>0</v>
      </c>
      <c r="R147" s="32">
        <v>2</v>
      </c>
      <c r="S147" s="33">
        <v>15</v>
      </c>
      <c r="T147" s="89">
        <v>44228</v>
      </c>
      <c r="U147" s="89">
        <v>44260</v>
      </c>
      <c r="V147" s="89"/>
      <c r="W147" s="89"/>
      <c r="X147" s="89"/>
      <c r="Y147" s="89"/>
      <c r="Z147" s="32"/>
      <c r="AA147" s="35"/>
      <c r="AB147" s="36"/>
      <c r="AC147" s="89"/>
      <c r="AD147" s="270">
        <f t="shared" si="9"/>
        <v>2</v>
      </c>
      <c r="AE147" s="38">
        <f t="shared" si="10"/>
        <v>2</v>
      </c>
    </row>
    <row r="148" spans="2:31" s="26" customFormat="1" ht="13.5" customHeight="1" x14ac:dyDescent="0.25">
      <c r="B148" s="276">
        <v>147</v>
      </c>
      <c r="C148" s="276" t="s">
        <v>39</v>
      </c>
      <c r="D148" s="226" t="s">
        <v>1148</v>
      </c>
      <c r="E148" s="280" t="s">
        <v>1149</v>
      </c>
      <c r="F148" s="30" t="s">
        <v>60</v>
      </c>
      <c r="G148" s="30" t="s">
        <v>847</v>
      </c>
      <c r="H148" s="42" t="s">
        <v>868</v>
      </c>
      <c r="I148" s="274" t="s">
        <v>72</v>
      </c>
      <c r="J148" s="271">
        <v>142767</v>
      </c>
      <c r="K148" s="31">
        <v>0</v>
      </c>
      <c r="L148" s="31">
        <v>142737</v>
      </c>
      <c r="M148" s="160"/>
      <c r="N148" s="160"/>
      <c r="O148" s="160"/>
      <c r="P148" s="31"/>
      <c r="Q148" s="31">
        <f t="shared" si="8"/>
        <v>0</v>
      </c>
      <c r="R148" s="32">
        <v>1</v>
      </c>
      <c r="S148" s="33">
        <v>15</v>
      </c>
      <c r="T148" s="89">
        <v>44228</v>
      </c>
      <c r="U148" s="89">
        <v>44260</v>
      </c>
      <c r="V148" s="89"/>
      <c r="W148" s="89"/>
      <c r="X148" s="89"/>
      <c r="Y148" s="89"/>
      <c r="Z148" s="32"/>
      <c r="AA148" s="35"/>
      <c r="AB148" s="36"/>
      <c r="AC148" s="89"/>
      <c r="AD148" s="270">
        <f t="shared" si="9"/>
        <v>1</v>
      </c>
      <c r="AE148" s="38">
        <f t="shared" si="10"/>
        <v>1</v>
      </c>
    </row>
    <row r="149" spans="2:31" s="26" customFormat="1" ht="13.5" customHeight="1" x14ac:dyDescent="0.25">
      <c r="B149" s="276">
        <v>148</v>
      </c>
      <c r="C149" s="276" t="s">
        <v>39</v>
      </c>
      <c r="D149" s="226" t="s">
        <v>1150</v>
      </c>
      <c r="E149" s="280" t="s">
        <v>1151</v>
      </c>
      <c r="F149" s="30" t="s">
        <v>54</v>
      </c>
      <c r="G149" s="30" t="s">
        <v>847</v>
      </c>
      <c r="H149" s="42" t="s">
        <v>879</v>
      </c>
      <c r="I149" s="274" t="s">
        <v>72</v>
      </c>
      <c r="J149" s="271">
        <v>204499</v>
      </c>
      <c r="K149" s="31">
        <v>0</v>
      </c>
      <c r="L149" s="31">
        <v>171779</v>
      </c>
      <c r="M149" s="160"/>
      <c r="N149" s="160"/>
      <c r="O149" s="160"/>
      <c r="P149" s="31"/>
      <c r="Q149" s="31">
        <f t="shared" si="8"/>
        <v>0</v>
      </c>
      <c r="R149" s="32">
        <v>2</v>
      </c>
      <c r="S149" s="33">
        <v>15</v>
      </c>
      <c r="T149" s="89">
        <v>44228</v>
      </c>
      <c r="U149" s="89">
        <v>44260</v>
      </c>
      <c r="V149" s="89"/>
      <c r="W149" s="89"/>
      <c r="X149" s="89"/>
      <c r="Y149" s="89"/>
      <c r="Z149" s="32"/>
      <c r="AA149" s="35"/>
      <c r="AB149" s="36"/>
      <c r="AC149" s="89"/>
      <c r="AD149" s="270">
        <f t="shared" si="9"/>
        <v>2</v>
      </c>
      <c r="AE149" s="38">
        <f t="shared" si="10"/>
        <v>2</v>
      </c>
    </row>
    <row r="150" spans="2:31" s="26" customFormat="1" ht="13.5" customHeight="1" x14ac:dyDescent="0.25">
      <c r="B150" s="276">
        <v>149</v>
      </c>
      <c r="C150" s="276" t="s">
        <v>39</v>
      </c>
      <c r="D150" s="226" t="s">
        <v>1152</v>
      </c>
      <c r="E150" s="280" t="s">
        <v>1153</v>
      </c>
      <c r="F150" s="30" t="s">
        <v>54</v>
      </c>
      <c r="G150" s="30" t="s">
        <v>847</v>
      </c>
      <c r="H150" s="42" t="s">
        <v>871</v>
      </c>
      <c r="I150" s="274" t="s">
        <v>72</v>
      </c>
      <c r="J150" s="271">
        <v>656339</v>
      </c>
      <c r="K150" s="31">
        <v>0</v>
      </c>
      <c r="L150" s="31">
        <v>653246</v>
      </c>
      <c r="M150" s="160"/>
      <c r="N150" s="160"/>
      <c r="O150" s="160"/>
      <c r="P150" s="31"/>
      <c r="Q150" s="31">
        <f t="shared" si="8"/>
        <v>0</v>
      </c>
      <c r="R150" s="32">
        <v>2</v>
      </c>
      <c r="S150" s="33">
        <v>15</v>
      </c>
      <c r="T150" s="89">
        <v>44228</v>
      </c>
      <c r="U150" s="89">
        <v>44260</v>
      </c>
      <c r="V150" s="89"/>
      <c r="W150" s="89"/>
      <c r="X150" s="89"/>
      <c r="Y150" s="89"/>
      <c r="Z150" s="32"/>
      <c r="AA150" s="35"/>
      <c r="AB150" s="36"/>
      <c r="AC150" s="89"/>
      <c r="AD150" s="270">
        <f t="shared" si="9"/>
        <v>2</v>
      </c>
      <c r="AE150" s="38">
        <f t="shared" si="10"/>
        <v>2</v>
      </c>
    </row>
    <row r="151" spans="2:31" s="26" customFormat="1" ht="13.5" customHeight="1" x14ac:dyDescent="0.25">
      <c r="B151" s="276">
        <v>150</v>
      </c>
      <c r="C151" s="276" t="s">
        <v>39</v>
      </c>
      <c r="D151" s="226" t="s">
        <v>1154</v>
      </c>
      <c r="E151" s="280" t="s">
        <v>1155</v>
      </c>
      <c r="F151" s="30" t="s">
        <v>54</v>
      </c>
      <c r="G151" s="30" t="s">
        <v>847</v>
      </c>
      <c r="H151" s="42" t="s">
        <v>1062</v>
      </c>
      <c r="I151" s="274" t="s">
        <v>72</v>
      </c>
      <c r="J151" s="271">
        <v>1381304</v>
      </c>
      <c r="K151" s="31">
        <v>0</v>
      </c>
      <c r="L151" s="31">
        <v>140449</v>
      </c>
      <c r="M151" s="31"/>
      <c r="N151" s="31"/>
      <c r="O151" s="31"/>
      <c r="P151" s="31"/>
      <c r="Q151" s="31">
        <f t="shared" si="8"/>
        <v>0</v>
      </c>
      <c r="R151" s="32">
        <v>2</v>
      </c>
      <c r="S151" s="33">
        <v>15</v>
      </c>
      <c r="T151" s="89">
        <v>44228</v>
      </c>
      <c r="U151" s="89">
        <v>44260</v>
      </c>
      <c r="V151" s="89"/>
      <c r="W151" s="89"/>
      <c r="X151" s="89"/>
      <c r="Y151" s="89"/>
      <c r="Z151" s="32"/>
      <c r="AA151" s="35"/>
      <c r="AB151" s="36"/>
      <c r="AC151" s="89"/>
      <c r="AD151" s="270">
        <f t="shared" si="9"/>
        <v>2</v>
      </c>
      <c r="AE151" s="38">
        <f t="shared" si="10"/>
        <v>2</v>
      </c>
    </row>
    <row r="152" spans="2:31" s="26" customFormat="1" ht="13.5" customHeight="1" x14ac:dyDescent="0.25">
      <c r="B152" s="276">
        <v>151</v>
      </c>
      <c r="C152" s="276" t="s">
        <v>39</v>
      </c>
      <c r="D152" s="226" t="s">
        <v>1156</v>
      </c>
      <c r="E152" s="280" t="s">
        <v>1157</v>
      </c>
      <c r="F152" s="30" t="s">
        <v>54</v>
      </c>
      <c r="G152" s="30" t="s">
        <v>847</v>
      </c>
      <c r="H152" s="42" t="s">
        <v>876</v>
      </c>
      <c r="I152" s="274" t="s">
        <v>72</v>
      </c>
      <c r="J152" s="271">
        <v>854054</v>
      </c>
      <c r="K152" s="31">
        <v>0</v>
      </c>
      <c r="L152" s="31">
        <v>192203</v>
      </c>
      <c r="M152" s="31"/>
      <c r="N152" s="31"/>
      <c r="O152" s="31"/>
      <c r="P152" s="31"/>
      <c r="Q152" s="31">
        <f t="shared" si="8"/>
        <v>0</v>
      </c>
      <c r="R152" s="32">
        <v>2</v>
      </c>
      <c r="S152" s="33">
        <v>15</v>
      </c>
      <c r="T152" s="89">
        <v>44228</v>
      </c>
      <c r="U152" s="89">
        <v>44260</v>
      </c>
      <c r="V152" s="89"/>
      <c r="W152" s="89"/>
      <c r="X152" s="89"/>
      <c r="Y152" s="89"/>
      <c r="Z152" s="32"/>
      <c r="AA152" s="35"/>
      <c r="AB152" s="36"/>
      <c r="AC152" s="89"/>
      <c r="AD152" s="270">
        <f t="shared" si="9"/>
        <v>2</v>
      </c>
      <c r="AE152" s="38">
        <f t="shared" si="10"/>
        <v>2</v>
      </c>
    </row>
    <row r="153" spans="2:31" s="140" customFormat="1" ht="13.5" customHeight="1" x14ac:dyDescent="0.25">
      <c r="B153" s="281">
        <v>152</v>
      </c>
      <c r="C153" s="281" t="s">
        <v>39</v>
      </c>
      <c r="D153" s="228" t="s">
        <v>1158</v>
      </c>
      <c r="E153" s="282" t="s">
        <v>1159</v>
      </c>
      <c r="F153" s="229" t="s">
        <v>60</v>
      </c>
      <c r="G153" s="229" t="s">
        <v>847</v>
      </c>
      <c r="H153" s="230" t="s">
        <v>876</v>
      </c>
      <c r="I153" s="275" t="s">
        <v>72</v>
      </c>
      <c r="J153" s="272">
        <v>46012</v>
      </c>
      <c r="K153" s="160">
        <v>0</v>
      </c>
      <c r="L153" s="160">
        <v>9202</v>
      </c>
      <c r="M153" s="160"/>
      <c r="N153" s="160"/>
      <c r="O153" s="160">
        <v>4500</v>
      </c>
      <c r="P153" s="160"/>
      <c r="Q153" s="160">
        <f t="shared" si="8"/>
        <v>4500</v>
      </c>
      <c r="R153" s="231">
        <v>1</v>
      </c>
      <c r="S153" s="232">
        <v>15</v>
      </c>
      <c r="T153" s="233">
        <v>44228</v>
      </c>
      <c r="U153" s="233">
        <v>44260</v>
      </c>
      <c r="V153" s="233"/>
      <c r="W153" s="233"/>
      <c r="X153" s="233"/>
      <c r="Y153" s="233"/>
      <c r="Z153" s="231"/>
      <c r="AA153" s="234"/>
      <c r="AB153" s="235"/>
      <c r="AC153" s="233"/>
      <c r="AD153" s="273">
        <f t="shared" si="9"/>
        <v>1</v>
      </c>
      <c r="AE153" s="236">
        <f>+AD153-Q153</f>
        <v>-4499</v>
      </c>
    </row>
    <row r="154" spans="2:31" s="26" customFormat="1" ht="13.5" customHeight="1" x14ac:dyDescent="0.25">
      <c r="B154" s="276">
        <v>153</v>
      </c>
      <c r="C154" s="276" t="s">
        <v>39</v>
      </c>
      <c r="D154" s="226" t="s">
        <v>1160</v>
      </c>
      <c r="E154" s="280" t="s">
        <v>1161</v>
      </c>
      <c r="F154" s="30" t="s">
        <v>366</v>
      </c>
      <c r="G154" s="30" t="s">
        <v>847</v>
      </c>
      <c r="H154" s="42" t="s">
        <v>939</v>
      </c>
      <c r="I154" s="274" t="s">
        <v>72</v>
      </c>
      <c r="J154" s="271">
        <v>832315</v>
      </c>
      <c r="K154" s="31">
        <v>0</v>
      </c>
      <c r="L154" s="31">
        <v>797550</v>
      </c>
      <c r="M154" s="31"/>
      <c r="N154" s="31"/>
      <c r="O154" s="31"/>
      <c r="P154" s="31"/>
      <c r="Q154" s="31">
        <f t="shared" si="8"/>
        <v>0</v>
      </c>
      <c r="R154" s="32">
        <v>1</v>
      </c>
      <c r="S154" s="33">
        <v>15</v>
      </c>
      <c r="T154" s="89">
        <v>44228</v>
      </c>
      <c r="U154" s="89">
        <v>44260</v>
      </c>
      <c r="V154" s="89"/>
      <c r="W154" s="89"/>
      <c r="X154" s="89"/>
      <c r="Y154" s="89"/>
      <c r="Z154" s="32"/>
      <c r="AA154" s="35"/>
      <c r="AB154" s="36"/>
      <c r="AC154" s="89"/>
      <c r="AD154" s="270">
        <f t="shared" si="9"/>
        <v>1</v>
      </c>
      <c r="AE154" s="38">
        <f t="shared" si="10"/>
        <v>1</v>
      </c>
    </row>
    <row r="155" spans="2:31" s="26" customFormat="1" ht="13.5" customHeight="1" x14ac:dyDescent="0.25">
      <c r="B155" s="276">
        <v>155</v>
      </c>
      <c r="C155" s="276" t="s">
        <v>39</v>
      </c>
      <c r="D155" s="226" t="s">
        <v>1162</v>
      </c>
      <c r="E155" s="280" t="s">
        <v>1163</v>
      </c>
      <c r="F155" s="30" t="s">
        <v>60</v>
      </c>
      <c r="G155" s="30" t="s">
        <v>847</v>
      </c>
      <c r="H155" s="42" t="s">
        <v>893</v>
      </c>
      <c r="I155" s="274" t="s">
        <v>72</v>
      </c>
      <c r="J155" s="271">
        <v>655331</v>
      </c>
      <c r="K155" s="31">
        <v>0</v>
      </c>
      <c r="L155" s="31">
        <v>623169</v>
      </c>
      <c r="M155" s="31"/>
      <c r="N155" s="31"/>
      <c r="O155" s="31"/>
      <c r="P155" s="31"/>
      <c r="Q155" s="31">
        <f t="shared" si="8"/>
        <v>0</v>
      </c>
      <c r="R155" s="32">
        <v>1</v>
      </c>
      <c r="S155" s="33">
        <v>15</v>
      </c>
      <c r="T155" s="89">
        <v>44228</v>
      </c>
      <c r="U155" s="89">
        <v>44260</v>
      </c>
      <c r="V155" s="89"/>
      <c r="W155" s="89"/>
      <c r="X155" s="89"/>
      <c r="Y155" s="89"/>
      <c r="Z155" s="32"/>
      <c r="AA155" s="35"/>
      <c r="AB155" s="36"/>
      <c r="AC155" s="89"/>
      <c r="AD155" s="270">
        <f t="shared" si="9"/>
        <v>1</v>
      </c>
      <c r="AE155" s="38">
        <f t="shared" si="10"/>
        <v>1</v>
      </c>
    </row>
    <row r="156" spans="2:31" s="26" customFormat="1" ht="13.5" customHeight="1" x14ac:dyDescent="0.25">
      <c r="B156" s="276">
        <v>156</v>
      </c>
      <c r="C156" s="276" t="s">
        <v>39</v>
      </c>
      <c r="D156" s="226" t="s">
        <v>1164</v>
      </c>
      <c r="E156" s="280" t="s">
        <v>1165</v>
      </c>
      <c r="F156" s="30" t="s">
        <v>60</v>
      </c>
      <c r="G156" s="30" t="s">
        <v>847</v>
      </c>
      <c r="H156" s="42" t="s">
        <v>893</v>
      </c>
      <c r="I156" s="274" t="s">
        <v>57</v>
      </c>
      <c r="J156" s="271">
        <v>20014</v>
      </c>
      <c r="K156" s="31">
        <v>6098</v>
      </c>
      <c r="L156" s="31">
        <v>0</v>
      </c>
      <c r="M156" s="31"/>
      <c r="N156" s="31"/>
      <c r="O156" s="31"/>
      <c r="P156" s="31"/>
      <c r="Q156" s="31">
        <f t="shared" si="8"/>
        <v>0</v>
      </c>
      <c r="R156" s="32">
        <v>1</v>
      </c>
      <c r="S156" s="33">
        <v>15</v>
      </c>
      <c r="T156" s="89">
        <v>44228</v>
      </c>
      <c r="U156" s="89">
        <v>44260</v>
      </c>
      <c r="V156" s="89"/>
      <c r="W156" s="89"/>
      <c r="X156" s="89"/>
      <c r="Y156" s="89"/>
      <c r="Z156" s="32"/>
      <c r="AA156" s="35"/>
      <c r="AB156" s="36"/>
      <c r="AC156" s="89"/>
      <c r="AD156" s="270">
        <f t="shared" si="9"/>
        <v>1</v>
      </c>
      <c r="AE156" s="38">
        <f t="shared" si="10"/>
        <v>1</v>
      </c>
    </row>
    <row r="157" spans="2:31" s="26" customFormat="1" ht="13.5" customHeight="1" x14ac:dyDescent="0.25">
      <c r="B157" s="276">
        <v>157</v>
      </c>
      <c r="C157" s="276" t="s">
        <v>39</v>
      </c>
      <c r="D157" s="226" t="s">
        <v>1166</v>
      </c>
      <c r="E157" s="280" t="s">
        <v>1167</v>
      </c>
      <c r="F157" s="30" t="s">
        <v>54</v>
      </c>
      <c r="G157" s="30" t="s">
        <v>847</v>
      </c>
      <c r="H157" s="42" t="s">
        <v>893</v>
      </c>
      <c r="I157" s="274" t="s">
        <v>72</v>
      </c>
      <c r="J157" s="271">
        <v>410076</v>
      </c>
      <c r="K157" s="31">
        <v>0</v>
      </c>
      <c r="L157" s="31">
        <v>2291</v>
      </c>
      <c r="M157" s="31"/>
      <c r="N157" s="31"/>
      <c r="O157" s="31"/>
      <c r="P157" s="31"/>
      <c r="Q157" s="31">
        <f t="shared" si="8"/>
        <v>0</v>
      </c>
      <c r="R157" s="32">
        <v>2</v>
      </c>
      <c r="S157" s="33">
        <v>15</v>
      </c>
      <c r="T157" s="89">
        <v>44228</v>
      </c>
      <c r="U157" s="89">
        <v>44260</v>
      </c>
      <c r="V157" s="89"/>
      <c r="W157" s="89"/>
      <c r="X157" s="89"/>
      <c r="Y157" s="89"/>
      <c r="Z157" s="32"/>
      <c r="AA157" s="35"/>
      <c r="AB157" s="36"/>
      <c r="AC157" s="89"/>
      <c r="AD157" s="270">
        <f t="shared" si="9"/>
        <v>2</v>
      </c>
      <c r="AE157" s="38">
        <f t="shared" si="10"/>
        <v>2</v>
      </c>
    </row>
    <row r="158" spans="2:31" s="26" customFormat="1" ht="13.5" customHeight="1" x14ac:dyDescent="0.25">
      <c r="B158" s="276">
        <v>158</v>
      </c>
      <c r="C158" s="276" t="s">
        <v>39</v>
      </c>
      <c r="D158" s="226" t="s">
        <v>1168</v>
      </c>
      <c r="E158" s="280" t="s">
        <v>1169</v>
      </c>
      <c r="F158" s="30" t="s">
        <v>54</v>
      </c>
      <c r="G158" s="30" t="s">
        <v>847</v>
      </c>
      <c r="H158" s="42" t="s">
        <v>975</v>
      </c>
      <c r="I158" s="274" t="s">
        <v>72</v>
      </c>
      <c r="J158" s="271">
        <v>853016</v>
      </c>
      <c r="K158" s="31">
        <v>0</v>
      </c>
      <c r="L158" s="31">
        <v>720398</v>
      </c>
      <c r="M158" s="31"/>
      <c r="N158" s="31"/>
      <c r="O158" s="31"/>
      <c r="P158" s="31"/>
      <c r="Q158" s="31">
        <f t="shared" si="8"/>
        <v>0</v>
      </c>
      <c r="R158" s="32">
        <v>2</v>
      </c>
      <c r="S158" s="33">
        <v>15</v>
      </c>
      <c r="T158" s="89">
        <v>44228</v>
      </c>
      <c r="U158" s="89">
        <v>44260</v>
      </c>
      <c r="V158" s="89"/>
      <c r="W158" s="89"/>
      <c r="X158" s="89"/>
      <c r="Y158" s="89"/>
      <c r="Z158" s="32"/>
      <c r="AA158" s="35"/>
      <c r="AB158" s="36"/>
      <c r="AC158" s="89"/>
      <c r="AD158" s="270">
        <f t="shared" si="9"/>
        <v>2</v>
      </c>
      <c r="AE158" s="38">
        <f t="shared" si="10"/>
        <v>2</v>
      </c>
    </row>
    <row r="159" spans="2:31" s="26" customFormat="1" ht="13.5" customHeight="1" x14ac:dyDescent="0.25">
      <c r="B159" s="276">
        <v>159</v>
      </c>
      <c r="C159" s="276" t="s">
        <v>39</v>
      </c>
      <c r="D159" s="226" t="s">
        <v>1170</v>
      </c>
      <c r="E159" s="280" t="s">
        <v>1171</v>
      </c>
      <c r="F159" s="30" t="s">
        <v>54</v>
      </c>
      <c r="G159" s="30" t="s">
        <v>847</v>
      </c>
      <c r="H159" s="42" t="s">
        <v>871</v>
      </c>
      <c r="I159" s="274" t="s">
        <v>72</v>
      </c>
      <c r="J159" s="271">
        <v>369191</v>
      </c>
      <c r="K159" s="31">
        <v>0</v>
      </c>
      <c r="L159" s="31">
        <v>157290</v>
      </c>
      <c r="M159" s="31"/>
      <c r="N159" s="31"/>
      <c r="O159" s="31"/>
      <c r="P159" s="31"/>
      <c r="Q159" s="31">
        <f t="shared" si="8"/>
        <v>0</v>
      </c>
      <c r="R159" s="32">
        <v>2</v>
      </c>
      <c r="S159" s="33">
        <v>15</v>
      </c>
      <c r="T159" s="89">
        <v>44228</v>
      </c>
      <c r="U159" s="89">
        <v>44260</v>
      </c>
      <c r="V159" s="89"/>
      <c r="W159" s="89"/>
      <c r="X159" s="89"/>
      <c r="Y159" s="89"/>
      <c r="Z159" s="32"/>
      <c r="AA159" s="35"/>
      <c r="AB159" s="36"/>
      <c r="AC159" s="89"/>
      <c r="AD159" s="270">
        <f t="shared" si="9"/>
        <v>2</v>
      </c>
      <c r="AE159" s="38">
        <f t="shared" si="10"/>
        <v>2</v>
      </c>
    </row>
    <row r="160" spans="2:31" s="26" customFormat="1" ht="13.5" customHeight="1" x14ac:dyDescent="0.25">
      <c r="B160" s="276">
        <v>160</v>
      </c>
      <c r="C160" s="276" t="s">
        <v>39</v>
      </c>
      <c r="D160" s="226" t="s">
        <v>1172</v>
      </c>
      <c r="E160" s="280" t="s">
        <v>1173</v>
      </c>
      <c r="F160" s="30" t="s">
        <v>54</v>
      </c>
      <c r="G160" s="30" t="s">
        <v>847</v>
      </c>
      <c r="H160" s="42" t="s">
        <v>1079</v>
      </c>
      <c r="I160" s="274" t="s">
        <v>72</v>
      </c>
      <c r="J160" s="271">
        <v>519738</v>
      </c>
      <c r="K160" s="31">
        <v>0</v>
      </c>
      <c r="L160" s="31">
        <v>199227</v>
      </c>
      <c r="M160" s="31"/>
      <c r="N160" s="31"/>
      <c r="O160" s="31"/>
      <c r="P160" s="31"/>
      <c r="Q160" s="31">
        <f t="shared" si="8"/>
        <v>0</v>
      </c>
      <c r="R160" s="32">
        <v>2</v>
      </c>
      <c r="S160" s="33">
        <v>15</v>
      </c>
      <c r="T160" s="89">
        <v>44228</v>
      </c>
      <c r="U160" s="89">
        <v>44260</v>
      </c>
      <c r="V160" s="89"/>
      <c r="W160" s="89"/>
      <c r="X160" s="89"/>
      <c r="Y160" s="89"/>
      <c r="Z160" s="32"/>
      <c r="AA160" s="35"/>
      <c r="AB160" s="36"/>
      <c r="AC160" s="89"/>
      <c r="AD160" s="270">
        <f t="shared" si="9"/>
        <v>2</v>
      </c>
      <c r="AE160" s="38">
        <f t="shared" si="10"/>
        <v>2</v>
      </c>
    </row>
    <row r="161" spans="2:31" s="26" customFormat="1" ht="13.5" customHeight="1" x14ac:dyDescent="0.25">
      <c r="B161" s="276">
        <v>161</v>
      </c>
      <c r="C161" s="276" t="s">
        <v>39</v>
      </c>
      <c r="D161" s="226" t="s">
        <v>1174</v>
      </c>
      <c r="E161" s="280" t="s">
        <v>1175</v>
      </c>
      <c r="F161" s="30" t="s">
        <v>54</v>
      </c>
      <c r="G161" s="30" t="s">
        <v>847</v>
      </c>
      <c r="H161" s="42" t="s">
        <v>909</v>
      </c>
      <c r="I161" s="274" t="s">
        <v>72</v>
      </c>
      <c r="J161" s="271">
        <v>620100</v>
      </c>
      <c r="K161" s="31">
        <v>0</v>
      </c>
      <c r="L161" s="31">
        <v>1</v>
      </c>
      <c r="M161" s="31"/>
      <c r="N161" s="31"/>
      <c r="O161" s="31"/>
      <c r="P161" s="31"/>
      <c r="Q161" s="31">
        <f t="shared" si="8"/>
        <v>0</v>
      </c>
      <c r="R161" s="32">
        <v>2</v>
      </c>
      <c r="S161" s="33">
        <v>15</v>
      </c>
      <c r="T161" s="89">
        <v>44228</v>
      </c>
      <c r="U161" s="89">
        <v>44260</v>
      </c>
      <c r="V161" s="89"/>
      <c r="W161" s="89"/>
      <c r="X161" s="89"/>
      <c r="Y161" s="89"/>
      <c r="Z161" s="32"/>
      <c r="AA161" s="35"/>
      <c r="AB161" s="36"/>
      <c r="AC161" s="89"/>
      <c r="AD161" s="270">
        <f t="shared" si="9"/>
        <v>2</v>
      </c>
      <c r="AE161" s="38">
        <f t="shared" si="10"/>
        <v>2</v>
      </c>
    </row>
    <row r="162" spans="2:31" s="26" customFormat="1" ht="13.5" customHeight="1" x14ac:dyDescent="0.25">
      <c r="B162" s="276">
        <v>162</v>
      </c>
      <c r="C162" s="276" t="s">
        <v>39</v>
      </c>
      <c r="D162" s="226" t="s">
        <v>1176</v>
      </c>
      <c r="E162" s="280" t="s">
        <v>1177</v>
      </c>
      <c r="F162" s="30" t="s">
        <v>60</v>
      </c>
      <c r="G162" s="30" t="s">
        <v>847</v>
      </c>
      <c r="H162" s="42" t="s">
        <v>909</v>
      </c>
      <c r="I162" s="274" t="s">
        <v>72</v>
      </c>
      <c r="J162" s="271">
        <v>122054</v>
      </c>
      <c r="K162" s="31">
        <v>0</v>
      </c>
      <c r="L162" s="31">
        <v>18987</v>
      </c>
      <c r="M162" s="31"/>
      <c r="N162" s="31"/>
      <c r="O162" s="31"/>
      <c r="P162" s="31"/>
      <c r="Q162" s="31">
        <f t="shared" si="8"/>
        <v>0</v>
      </c>
      <c r="R162" s="32">
        <v>1</v>
      </c>
      <c r="S162" s="33">
        <v>15</v>
      </c>
      <c r="T162" s="89">
        <v>44228</v>
      </c>
      <c r="U162" s="89">
        <v>44260</v>
      </c>
      <c r="V162" s="89"/>
      <c r="W162" s="89"/>
      <c r="X162" s="89"/>
      <c r="Y162" s="89"/>
      <c r="Z162" s="32"/>
      <c r="AA162" s="35"/>
      <c r="AB162" s="36"/>
      <c r="AC162" s="89"/>
      <c r="AD162" s="270">
        <f t="shared" si="9"/>
        <v>1</v>
      </c>
      <c r="AE162" s="38">
        <f t="shared" si="10"/>
        <v>1</v>
      </c>
    </row>
    <row r="163" spans="2:31" s="26" customFormat="1" ht="13.5" customHeight="1" x14ac:dyDescent="0.25">
      <c r="B163" s="276">
        <v>163</v>
      </c>
      <c r="C163" s="276" t="s">
        <v>39</v>
      </c>
      <c r="D163" s="226" t="s">
        <v>1178</v>
      </c>
      <c r="E163" s="280" t="s">
        <v>1179</v>
      </c>
      <c r="F163" s="30" t="s">
        <v>54</v>
      </c>
      <c r="G163" s="30" t="s">
        <v>847</v>
      </c>
      <c r="H163" s="42" t="s">
        <v>912</v>
      </c>
      <c r="I163" s="274" t="s">
        <v>72</v>
      </c>
      <c r="J163" s="271">
        <v>1629949</v>
      </c>
      <c r="K163" s="31">
        <v>0</v>
      </c>
      <c r="L163" s="31">
        <v>0</v>
      </c>
      <c r="M163" s="31"/>
      <c r="N163" s="31"/>
      <c r="O163" s="31">
        <f>4600+77613</f>
        <v>82213</v>
      </c>
      <c r="P163" s="31"/>
      <c r="Q163" s="31">
        <f t="shared" si="8"/>
        <v>82213</v>
      </c>
      <c r="R163" s="32">
        <v>2</v>
      </c>
      <c r="S163" s="33">
        <v>15</v>
      </c>
      <c r="T163" s="89">
        <v>44228</v>
      </c>
      <c r="U163" s="89">
        <v>44260</v>
      </c>
      <c r="V163" s="32">
        <v>323958</v>
      </c>
      <c r="W163" s="35">
        <v>24</v>
      </c>
      <c r="X163" s="41">
        <v>44263</v>
      </c>
      <c r="Y163" s="89">
        <v>44284</v>
      </c>
      <c r="Z163" s="32"/>
      <c r="AA163" s="35"/>
      <c r="AB163" s="41"/>
      <c r="AC163" s="89"/>
      <c r="AD163" s="270">
        <f t="shared" si="9"/>
        <v>323960</v>
      </c>
      <c r="AE163" s="38">
        <f t="shared" si="10"/>
        <v>241747</v>
      </c>
    </row>
    <row r="164" spans="2:31" s="26" customFormat="1" ht="13.5" customHeight="1" x14ac:dyDescent="0.25">
      <c r="B164" s="276">
        <v>164</v>
      </c>
      <c r="C164" s="276" t="s">
        <v>39</v>
      </c>
      <c r="D164" s="226" t="s">
        <v>1180</v>
      </c>
      <c r="E164" s="280" t="s">
        <v>1181</v>
      </c>
      <c r="F164" s="30" t="s">
        <v>54</v>
      </c>
      <c r="G164" s="30" t="s">
        <v>847</v>
      </c>
      <c r="H164" s="42" t="s">
        <v>966</v>
      </c>
      <c r="I164" s="274" t="s">
        <v>72</v>
      </c>
      <c r="J164" s="271">
        <v>471638</v>
      </c>
      <c r="K164" s="31">
        <v>0</v>
      </c>
      <c r="L164" s="31">
        <v>0</v>
      </c>
      <c r="M164" s="31"/>
      <c r="N164" s="31"/>
      <c r="O164" s="31"/>
      <c r="P164" s="31"/>
      <c r="Q164" s="31">
        <f t="shared" si="8"/>
        <v>0</v>
      </c>
      <c r="R164" s="32">
        <v>2</v>
      </c>
      <c r="S164" s="33">
        <v>15</v>
      </c>
      <c r="T164" s="89">
        <v>44228</v>
      </c>
      <c r="U164" s="89">
        <v>44260</v>
      </c>
      <c r="V164" s="89"/>
      <c r="W164" s="89"/>
      <c r="X164" s="89"/>
      <c r="Y164" s="89"/>
      <c r="Z164" s="32"/>
      <c r="AA164" s="35"/>
      <c r="AB164" s="36"/>
      <c r="AC164" s="89"/>
      <c r="AD164" s="270">
        <f t="shared" si="9"/>
        <v>2</v>
      </c>
      <c r="AE164" s="38">
        <f t="shared" si="10"/>
        <v>2</v>
      </c>
    </row>
    <row r="165" spans="2:31" s="26" customFormat="1" ht="13.5" customHeight="1" x14ac:dyDescent="0.25">
      <c r="B165" s="276">
        <v>165</v>
      </c>
      <c r="C165" s="276" t="s">
        <v>39</v>
      </c>
      <c r="D165" s="226" t="s">
        <v>1182</v>
      </c>
      <c r="E165" s="280" t="s">
        <v>1183</v>
      </c>
      <c r="F165" s="30" t="s">
        <v>54</v>
      </c>
      <c r="G165" s="30" t="s">
        <v>847</v>
      </c>
      <c r="H165" s="42" t="s">
        <v>966</v>
      </c>
      <c r="I165" s="274" t="s">
        <v>72</v>
      </c>
      <c r="J165" s="271">
        <v>168309</v>
      </c>
      <c r="K165" s="31">
        <v>0</v>
      </c>
      <c r="L165" s="31">
        <v>1415</v>
      </c>
      <c r="M165" s="31"/>
      <c r="N165" s="31"/>
      <c r="O165" s="31"/>
      <c r="P165" s="31"/>
      <c r="Q165" s="31">
        <f t="shared" si="8"/>
        <v>0</v>
      </c>
      <c r="R165" s="32">
        <v>2</v>
      </c>
      <c r="S165" s="33">
        <v>15</v>
      </c>
      <c r="T165" s="89">
        <v>44228</v>
      </c>
      <c r="U165" s="89">
        <v>44260</v>
      </c>
      <c r="V165" s="89"/>
      <c r="W165" s="89"/>
      <c r="X165" s="89"/>
      <c r="Y165" s="89"/>
      <c r="Z165" s="32"/>
      <c r="AA165" s="35"/>
      <c r="AB165" s="36"/>
      <c r="AC165" s="89"/>
      <c r="AD165" s="270">
        <f t="shared" si="9"/>
        <v>2</v>
      </c>
      <c r="AE165" s="38">
        <f t="shared" si="10"/>
        <v>2</v>
      </c>
    </row>
    <row r="166" spans="2:31" s="26" customFormat="1" ht="13.5" customHeight="1" x14ac:dyDescent="0.25">
      <c r="B166" s="276">
        <v>166</v>
      </c>
      <c r="C166" s="276" t="s">
        <v>39</v>
      </c>
      <c r="D166" s="226" t="s">
        <v>1184</v>
      </c>
      <c r="E166" s="280" t="s">
        <v>1185</v>
      </c>
      <c r="F166" s="30" t="s">
        <v>60</v>
      </c>
      <c r="G166" s="30" t="s">
        <v>847</v>
      </c>
      <c r="H166" s="42" t="s">
        <v>918</v>
      </c>
      <c r="I166" s="274" t="s">
        <v>72</v>
      </c>
      <c r="J166" s="271">
        <v>86444</v>
      </c>
      <c r="K166" s="31">
        <v>0</v>
      </c>
      <c r="L166" s="31">
        <v>0</v>
      </c>
      <c r="M166" s="31"/>
      <c r="N166" s="31"/>
      <c r="O166" s="31"/>
      <c r="P166" s="31"/>
      <c r="Q166" s="31">
        <f t="shared" si="8"/>
        <v>0</v>
      </c>
      <c r="R166" s="32">
        <v>1</v>
      </c>
      <c r="S166" s="33">
        <v>15</v>
      </c>
      <c r="T166" s="89">
        <v>44228</v>
      </c>
      <c r="U166" s="89">
        <v>44260</v>
      </c>
      <c r="V166" s="89"/>
      <c r="W166" s="89"/>
      <c r="X166" s="89"/>
      <c r="Y166" s="89"/>
      <c r="Z166" s="32"/>
      <c r="AA166" s="35"/>
      <c r="AB166" s="36"/>
      <c r="AC166" s="89"/>
      <c r="AD166" s="270">
        <f t="shared" si="9"/>
        <v>1</v>
      </c>
      <c r="AE166" s="38">
        <f t="shared" si="10"/>
        <v>1</v>
      </c>
    </row>
    <row r="167" spans="2:31" s="26" customFormat="1" ht="13.5" customHeight="1" x14ac:dyDescent="0.25">
      <c r="B167" s="276">
        <v>167</v>
      </c>
      <c r="C167" s="276" t="s">
        <v>39</v>
      </c>
      <c r="D167" s="110" t="s">
        <v>1186</v>
      </c>
      <c r="E167" s="239" t="s">
        <v>1187</v>
      </c>
      <c r="F167" s="30" t="s">
        <v>147</v>
      </c>
      <c r="G167" s="30" t="s">
        <v>847</v>
      </c>
      <c r="H167" s="42" t="s">
        <v>552</v>
      </c>
      <c r="I167" s="274" t="s">
        <v>72</v>
      </c>
      <c r="J167" s="271">
        <v>513077</v>
      </c>
      <c r="K167" s="31">
        <v>0</v>
      </c>
      <c r="L167" s="31">
        <v>342051</v>
      </c>
      <c r="M167" s="31"/>
      <c r="N167" s="31"/>
      <c r="O167" s="31"/>
      <c r="P167" s="31"/>
      <c r="Q167" s="31">
        <f t="shared" si="8"/>
        <v>0</v>
      </c>
      <c r="R167" s="32">
        <v>1</v>
      </c>
      <c r="S167" s="33">
        <v>16</v>
      </c>
      <c r="T167" s="89">
        <v>44228</v>
      </c>
      <c r="U167" s="89">
        <v>44263</v>
      </c>
      <c r="V167" s="89"/>
      <c r="W167" s="89"/>
      <c r="X167" s="89"/>
      <c r="Y167" s="89"/>
      <c r="Z167" s="32"/>
      <c r="AA167" s="35"/>
      <c r="AB167" s="36"/>
      <c r="AC167" s="89"/>
      <c r="AD167" s="270">
        <f t="shared" si="9"/>
        <v>1</v>
      </c>
      <c r="AE167" s="38">
        <f t="shared" si="10"/>
        <v>1</v>
      </c>
    </row>
    <row r="168" spans="2:31" s="26" customFormat="1" ht="13.5" customHeight="1" x14ac:dyDescent="0.25">
      <c r="B168" s="276">
        <v>168</v>
      </c>
      <c r="C168" s="276" t="s">
        <v>39</v>
      </c>
      <c r="D168" s="110" t="s">
        <v>1188</v>
      </c>
      <c r="E168" s="239" t="s">
        <v>1189</v>
      </c>
      <c r="F168" s="30" t="s">
        <v>147</v>
      </c>
      <c r="G168" s="30" t="s">
        <v>847</v>
      </c>
      <c r="H168" s="42" t="s">
        <v>1038</v>
      </c>
      <c r="I168" s="274" t="s">
        <v>72</v>
      </c>
      <c r="J168" s="271">
        <v>640074</v>
      </c>
      <c r="K168" s="31">
        <v>0</v>
      </c>
      <c r="L168" s="31">
        <v>529645</v>
      </c>
      <c r="M168" s="31"/>
      <c r="N168" s="31"/>
      <c r="O168" s="31"/>
      <c r="P168" s="31"/>
      <c r="Q168" s="31">
        <f t="shared" si="8"/>
        <v>0</v>
      </c>
      <c r="R168" s="32">
        <v>1</v>
      </c>
      <c r="S168" s="33">
        <v>16</v>
      </c>
      <c r="T168" s="89">
        <v>44228</v>
      </c>
      <c r="U168" s="89">
        <v>44263</v>
      </c>
      <c r="V168" s="89"/>
      <c r="W168" s="89"/>
      <c r="X168" s="89"/>
      <c r="Y168" s="89"/>
      <c r="Z168" s="32"/>
      <c r="AA168" s="35"/>
      <c r="AB168" s="36"/>
      <c r="AC168" s="89"/>
      <c r="AD168" s="270">
        <f t="shared" si="9"/>
        <v>1</v>
      </c>
      <c r="AE168" s="38">
        <f t="shared" si="10"/>
        <v>1</v>
      </c>
    </row>
    <row r="169" spans="2:31" s="26" customFormat="1" ht="13.5" customHeight="1" x14ac:dyDescent="0.25">
      <c r="B169" s="276">
        <v>169</v>
      </c>
      <c r="C169" s="276" t="s">
        <v>39</v>
      </c>
      <c r="D169" s="110" t="s">
        <v>1190</v>
      </c>
      <c r="E169" s="239" t="s">
        <v>1191</v>
      </c>
      <c r="F169" s="30" t="s">
        <v>147</v>
      </c>
      <c r="G169" s="30" t="s">
        <v>847</v>
      </c>
      <c r="H169" s="42" t="s">
        <v>552</v>
      </c>
      <c r="I169" s="274" t="s">
        <v>72</v>
      </c>
      <c r="J169" s="271">
        <v>161555</v>
      </c>
      <c r="K169" s="31">
        <v>0</v>
      </c>
      <c r="L169" s="31">
        <v>1</v>
      </c>
      <c r="M169" s="31"/>
      <c r="N169" s="31"/>
      <c r="O169" s="31"/>
      <c r="P169" s="31"/>
      <c r="Q169" s="31">
        <f t="shared" si="8"/>
        <v>0</v>
      </c>
      <c r="R169" s="32">
        <v>1</v>
      </c>
      <c r="S169" s="33">
        <v>16</v>
      </c>
      <c r="T169" s="89">
        <v>44228</v>
      </c>
      <c r="U169" s="89">
        <v>44263</v>
      </c>
      <c r="V169" s="89"/>
      <c r="W169" s="89"/>
      <c r="X169" s="89"/>
      <c r="Y169" s="89"/>
      <c r="Z169" s="32"/>
      <c r="AA169" s="35"/>
      <c r="AB169" s="36"/>
      <c r="AC169" s="89"/>
      <c r="AD169" s="270">
        <f t="shared" si="9"/>
        <v>1</v>
      </c>
      <c r="AE169" s="38">
        <f t="shared" si="10"/>
        <v>1</v>
      </c>
    </row>
    <row r="170" spans="2:31" s="26" customFormat="1" ht="13.5" customHeight="1" x14ac:dyDescent="0.25">
      <c r="B170" s="276">
        <v>170</v>
      </c>
      <c r="C170" s="276" t="s">
        <v>39</v>
      </c>
      <c r="D170" s="110" t="s">
        <v>1192</v>
      </c>
      <c r="E170" s="239" t="s">
        <v>1193</v>
      </c>
      <c r="F170" s="30" t="s">
        <v>147</v>
      </c>
      <c r="G170" s="30" t="s">
        <v>847</v>
      </c>
      <c r="H170" s="42" t="s">
        <v>552</v>
      </c>
      <c r="I170" s="274" t="s">
        <v>72</v>
      </c>
      <c r="J170" s="271">
        <v>627303</v>
      </c>
      <c r="K170" s="31">
        <v>0</v>
      </c>
      <c r="L170" s="31">
        <v>339214</v>
      </c>
      <c r="M170" s="31"/>
      <c r="N170" s="31"/>
      <c r="O170" s="31"/>
      <c r="P170" s="31"/>
      <c r="Q170" s="31">
        <f t="shared" ref="Q170:Q189" si="11">SUM(M170:P170)</f>
        <v>0</v>
      </c>
      <c r="R170" s="32">
        <v>2</v>
      </c>
      <c r="S170" s="33">
        <v>16</v>
      </c>
      <c r="T170" s="89">
        <v>44228</v>
      </c>
      <c r="U170" s="89">
        <v>44263</v>
      </c>
      <c r="V170" s="89"/>
      <c r="W170" s="89"/>
      <c r="X170" s="89"/>
      <c r="Y170" s="89"/>
      <c r="Z170" s="32"/>
      <c r="AA170" s="35"/>
      <c r="AB170" s="36"/>
      <c r="AC170" s="89"/>
      <c r="AD170" s="270">
        <f t="shared" si="9"/>
        <v>2</v>
      </c>
      <c r="AE170" s="38">
        <f t="shared" si="10"/>
        <v>2</v>
      </c>
    </row>
    <row r="171" spans="2:31" s="26" customFormat="1" ht="13.5" customHeight="1" x14ac:dyDescent="0.25">
      <c r="B171" s="276">
        <v>171</v>
      </c>
      <c r="C171" s="276" t="s">
        <v>39</v>
      </c>
      <c r="D171" s="110" t="s">
        <v>1194</v>
      </c>
      <c r="E171" s="239" t="s">
        <v>1195</v>
      </c>
      <c r="F171" s="30" t="s">
        <v>147</v>
      </c>
      <c r="G171" s="30" t="s">
        <v>847</v>
      </c>
      <c r="H171" s="42" t="s">
        <v>1049</v>
      </c>
      <c r="I171" s="274" t="s">
        <v>72</v>
      </c>
      <c r="J171" s="271">
        <v>386590</v>
      </c>
      <c r="K171" s="31">
        <v>0</v>
      </c>
      <c r="L171" s="31">
        <v>171866</v>
      </c>
      <c r="M171" s="31"/>
      <c r="N171" s="31"/>
      <c r="O171" s="31"/>
      <c r="P171" s="31"/>
      <c r="Q171" s="31">
        <f t="shared" si="11"/>
        <v>0</v>
      </c>
      <c r="R171" s="32">
        <v>2</v>
      </c>
      <c r="S171" s="33">
        <v>16</v>
      </c>
      <c r="T171" s="89">
        <v>44228</v>
      </c>
      <c r="U171" s="89">
        <v>44263</v>
      </c>
      <c r="V171" s="89"/>
      <c r="W171" s="89"/>
      <c r="X171" s="89"/>
      <c r="Y171" s="89"/>
      <c r="Z171" s="32"/>
      <c r="AA171" s="35"/>
      <c r="AB171" s="36"/>
      <c r="AC171" s="89"/>
      <c r="AD171" s="270">
        <f t="shared" si="9"/>
        <v>2</v>
      </c>
      <c r="AE171" s="38">
        <f t="shared" si="10"/>
        <v>2</v>
      </c>
    </row>
    <row r="172" spans="2:31" s="26" customFormat="1" ht="13.5" customHeight="1" x14ac:dyDescent="0.25">
      <c r="B172" s="276">
        <v>172</v>
      </c>
      <c r="C172" s="276" t="s">
        <v>39</v>
      </c>
      <c r="D172" s="110" t="s">
        <v>1196</v>
      </c>
      <c r="E172" s="239" t="s">
        <v>1197</v>
      </c>
      <c r="F172" s="30" t="s">
        <v>147</v>
      </c>
      <c r="G172" s="30" t="s">
        <v>847</v>
      </c>
      <c r="H172" s="42" t="s">
        <v>884</v>
      </c>
      <c r="I172" s="274" t="s">
        <v>72</v>
      </c>
      <c r="J172" s="271">
        <v>859416</v>
      </c>
      <c r="K172" s="31">
        <v>0</v>
      </c>
      <c r="L172" s="31">
        <v>359416</v>
      </c>
      <c r="M172" s="31"/>
      <c r="N172" s="31"/>
      <c r="O172" s="31"/>
      <c r="P172" s="31"/>
      <c r="Q172" s="31">
        <f t="shared" si="11"/>
        <v>0</v>
      </c>
      <c r="R172" s="32">
        <v>1</v>
      </c>
      <c r="S172" s="33">
        <v>16</v>
      </c>
      <c r="T172" s="89">
        <v>44228</v>
      </c>
      <c r="U172" s="89">
        <v>44263</v>
      </c>
      <c r="V172" s="89"/>
      <c r="W172" s="89"/>
      <c r="X172" s="89"/>
      <c r="Y172" s="89"/>
      <c r="Z172" s="32"/>
      <c r="AA172" s="35"/>
      <c r="AB172" s="36"/>
      <c r="AC172" s="89"/>
      <c r="AD172" s="270">
        <f t="shared" si="9"/>
        <v>1</v>
      </c>
      <c r="AE172" s="38">
        <f t="shared" si="10"/>
        <v>1</v>
      </c>
    </row>
    <row r="173" spans="2:31" s="26" customFormat="1" ht="13.5" customHeight="1" x14ac:dyDescent="0.25">
      <c r="B173" s="276">
        <v>173</v>
      </c>
      <c r="C173" s="276" t="s">
        <v>39</v>
      </c>
      <c r="D173" s="110" t="s">
        <v>1198</v>
      </c>
      <c r="E173" s="239" t="s">
        <v>1199</v>
      </c>
      <c r="F173" s="30" t="s">
        <v>147</v>
      </c>
      <c r="G173" s="30" t="s">
        <v>847</v>
      </c>
      <c r="H173" s="42" t="s">
        <v>552</v>
      </c>
      <c r="I173" s="274" t="s">
        <v>72</v>
      </c>
      <c r="J173" s="271">
        <v>920760</v>
      </c>
      <c r="K173" s="31">
        <v>0</v>
      </c>
      <c r="L173" s="31">
        <v>120249</v>
      </c>
      <c r="M173" s="31"/>
      <c r="N173" s="31"/>
      <c r="O173" s="31"/>
      <c r="P173" s="31"/>
      <c r="Q173" s="31">
        <f t="shared" si="11"/>
        <v>0</v>
      </c>
      <c r="R173" s="32">
        <v>2</v>
      </c>
      <c r="S173" s="33">
        <v>16</v>
      </c>
      <c r="T173" s="89">
        <v>44228</v>
      </c>
      <c r="U173" s="89">
        <v>44263</v>
      </c>
      <c r="V173" s="89"/>
      <c r="W173" s="89"/>
      <c r="X173" s="89"/>
      <c r="Y173" s="89"/>
      <c r="Z173" s="32"/>
      <c r="AA173" s="35"/>
      <c r="AB173" s="36"/>
      <c r="AC173" s="89"/>
      <c r="AD173" s="270">
        <f t="shared" si="9"/>
        <v>2</v>
      </c>
      <c r="AE173" s="38">
        <f t="shared" si="10"/>
        <v>2</v>
      </c>
    </row>
    <row r="174" spans="2:31" s="26" customFormat="1" ht="13.5" customHeight="1" x14ac:dyDescent="0.25">
      <c r="B174" s="276">
        <v>174</v>
      </c>
      <c r="C174" s="276" t="s">
        <v>39</v>
      </c>
      <c r="D174" s="110" t="s">
        <v>1200</v>
      </c>
      <c r="E174" s="239" t="s">
        <v>1201</v>
      </c>
      <c r="F174" s="30" t="s">
        <v>147</v>
      </c>
      <c r="G174" s="30" t="s">
        <v>847</v>
      </c>
      <c r="H174" s="42" t="s">
        <v>1202</v>
      </c>
      <c r="I174" s="274" t="s">
        <v>72</v>
      </c>
      <c r="J174" s="271">
        <v>567883</v>
      </c>
      <c r="K174" s="31">
        <v>0</v>
      </c>
      <c r="L174" s="31">
        <v>159508</v>
      </c>
      <c r="M174" s="31"/>
      <c r="N174" s="31"/>
      <c r="O174" s="31"/>
      <c r="P174" s="31"/>
      <c r="Q174" s="31">
        <f t="shared" si="11"/>
        <v>0</v>
      </c>
      <c r="R174" s="32">
        <v>2</v>
      </c>
      <c r="S174" s="33">
        <v>16</v>
      </c>
      <c r="T174" s="89">
        <v>44228</v>
      </c>
      <c r="U174" s="89">
        <v>44263</v>
      </c>
      <c r="V174" s="89"/>
      <c r="W174" s="89"/>
      <c r="X174" s="89"/>
      <c r="Y174" s="89"/>
      <c r="Z174" s="32"/>
      <c r="AA174" s="35"/>
      <c r="AB174" s="36"/>
      <c r="AC174" s="89"/>
      <c r="AD174" s="270">
        <f t="shared" si="9"/>
        <v>2</v>
      </c>
      <c r="AE174" s="38">
        <f t="shared" si="10"/>
        <v>2</v>
      </c>
    </row>
    <row r="175" spans="2:31" s="26" customFormat="1" ht="13.5" customHeight="1" x14ac:dyDescent="0.25">
      <c r="B175" s="276">
        <v>175</v>
      </c>
      <c r="C175" s="276" t="s">
        <v>39</v>
      </c>
      <c r="D175" s="110" t="s">
        <v>1203</v>
      </c>
      <c r="E175" s="239" t="s">
        <v>1204</v>
      </c>
      <c r="F175" s="30" t="s">
        <v>147</v>
      </c>
      <c r="G175" s="30" t="s">
        <v>847</v>
      </c>
      <c r="H175" s="42" t="s">
        <v>966</v>
      </c>
      <c r="I175" s="274" t="s">
        <v>72</v>
      </c>
      <c r="J175" s="271">
        <v>420032</v>
      </c>
      <c r="K175" s="31">
        <v>0</v>
      </c>
      <c r="L175" s="31">
        <v>280684</v>
      </c>
      <c r="M175" s="31"/>
      <c r="N175" s="31"/>
      <c r="O175" s="31"/>
      <c r="P175" s="31"/>
      <c r="Q175" s="31">
        <f t="shared" si="11"/>
        <v>0</v>
      </c>
      <c r="R175" s="32">
        <v>2</v>
      </c>
      <c r="S175" s="33">
        <v>16</v>
      </c>
      <c r="T175" s="89">
        <v>44228</v>
      </c>
      <c r="U175" s="89">
        <v>44263</v>
      </c>
      <c r="V175" s="89"/>
      <c r="W175" s="89"/>
      <c r="X175" s="89"/>
      <c r="Y175" s="89"/>
      <c r="Z175" s="32"/>
      <c r="AA175" s="35"/>
      <c r="AB175" s="36"/>
      <c r="AC175" s="89"/>
      <c r="AD175" s="270">
        <f t="shared" si="9"/>
        <v>2</v>
      </c>
      <c r="AE175" s="38">
        <f t="shared" si="10"/>
        <v>2</v>
      </c>
    </row>
    <row r="176" spans="2:31" s="26" customFormat="1" ht="13.5" customHeight="1" x14ac:dyDescent="0.25">
      <c r="B176" s="276">
        <v>176</v>
      </c>
      <c r="C176" s="276" t="s">
        <v>39</v>
      </c>
      <c r="D176" s="110" t="s">
        <v>1205</v>
      </c>
      <c r="E176" s="239" t="s">
        <v>1206</v>
      </c>
      <c r="F176" s="30" t="s">
        <v>147</v>
      </c>
      <c r="G176" s="30" t="s">
        <v>847</v>
      </c>
      <c r="H176" s="42" t="s">
        <v>915</v>
      </c>
      <c r="I176" s="274" t="s">
        <v>72</v>
      </c>
      <c r="J176" s="271">
        <v>909164</v>
      </c>
      <c r="K176" s="31">
        <v>0</v>
      </c>
      <c r="L176" s="31">
        <v>192804</v>
      </c>
      <c r="M176" s="31"/>
      <c r="N176" s="31"/>
      <c r="O176" s="31"/>
      <c r="P176" s="31"/>
      <c r="Q176" s="31">
        <f t="shared" si="11"/>
        <v>0</v>
      </c>
      <c r="R176" s="32">
        <v>2</v>
      </c>
      <c r="S176" s="33">
        <v>16</v>
      </c>
      <c r="T176" s="89">
        <v>44228</v>
      </c>
      <c r="U176" s="89">
        <v>44263</v>
      </c>
      <c r="V176" s="89"/>
      <c r="W176" s="89"/>
      <c r="X176" s="89"/>
      <c r="Y176" s="89"/>
      <c r="Z176" s="32"/>
      <c r="AA176" s="35"/>
      <c r="AB176" s="36"/>
      <c r="AC176" s="89"/>
      <c r="AD176" s="270">
        <f t="shared" si="9"/>
        <v>2</v>
      </c>
      <c r="AE176" s="38">
        <f t="shared" si="10"/>
        <v>2</v>
      </c>
    </row>
    <row r="177" spans="2:31" s="26" customFormat="1" ht="13.5" customHeight="1" x14ac:dyDescent="0.25">
      <c r="B177" s="276">
        <v>177</v>
      </c>
      <c r="C177" s="276" t="s">
        <v>39</v>
      </c>
      <c r="D177" s="110" t="s">
        <v>1207</v>
      </c>
      <c r="E177" s="239" t="s">
        <v>1208</v>
      </c>
      <c r="F177" s="30" t="s">
        <v>147</v>
      </c>
      <c r="G177" s="30" t="s">
        <v>847</v>
      </c>
      <c r="H177" s="42" t="s">
        <v>863</v>
      </c>
      <c r="I177" s="274" t="s">
        <v>72</v>
      </c>
      <c r="J177" s="271">
        <v>452374</v>
      </c>
      <c r="K177" s="31">
        <v>0</v>
      </c>
      <c r="L177" s="31">
        <v>146567</v>
      </c>
      <c r="M177" s="31"/>
      <c r="N177" s="31"/>
      <c r="O177" s="31"/>
      <c r="P177" s="31"/>
      <c r="Q177" s="31">
        <f t="shared" si="11"/>
        <v>0</v>
      </c>
      <c r="R177" s="32">
        <v>174500</v>
      </c>
      <c r="S177" s="33">
        <v>17</v>
      </c>
      <c r="T177" s="89">
        <v>44242</v>
      </c>
      <c r="U177" s="89">
        <v>44271</v>
      </c>
      <c r="V177" s="89"/>
      <c r="W177" s="89"/>
      <c r="X177" s="89"/>
      <c r="Y177" s="89"/>
      <c r="Z177" s="32"/>
      <c r="AA177" s="35"/>
      <c r="AB177" s="36"/>
      <c r="AC177" s="89"/>
      <c r="AD177" s="270">
        <f t="shared" si="9"/>
        <v>174500</v>
      </c>
      <c r="AE177" s="38">
        <f t="shared" si="10"/>
        <v>174500</v>
      </c>
    </row>
    <row r="178" spans="2:31" s="26" customFormat="1" ht="13.5" customHeight="1" x14ac:dyDescent="0.25">
      <c r="B178" s="276">
        <v>178</v>
      </c>
      <c r="C178" s="276" t="s">
        <v>39</v>
      </c>
      <c r="D178" s="110" t="s">
        <v>1209</v>
      </c>
      <c r="E178" s="239" t="s">
        <v>1210</v>
      </c>
      <c r="F178" s="30" t="s">
        <v>147</v>
      </c>
      <c r="G178" s="30" t="s">
        <v>847</v>
      </c>
      <c r="H178" s="42" t="s">
        <v>863</v>
      </c>
      <c r="I178" s="274" t="s">
        <v>72</v>
      </c>
      <c r="J178" s="271">
        <v>861203</v>
      </c>
      <c r="K178" s="31">
        <v>0</v>
      </c>
      <c r="L178" s="31">
        <v>0</v>
      </c>
      <c r="M178" s="31"/>
      <c r="N178" s="31"/>
      <c r="O178" s="31">
        <f>3300+85836</f>
        <v>89136</v>
      </c>
      <c r="P178" s="31"/>
      <c r="Q178" s="31">
        <f t="shared" si="11"/>
        <v>89136</v>
      </c>
      <c r="R178" s="32">
        <v>183500</v>
      </c>
      <c r="S178" s="33">
        <v>17</v>
      </c>
      <c r="T178" s="89">
        <v>44242</v>
      </c>
      <c r="U178" s="89">
        <v>44271</v>
      </c>
      <c r="V178" s="89"/>
      <c r="W178" s="89"/>
      <c r="X178" s="89"/>
      <c r="Y178" s="89"/>
      <c r="Z178" s="32"/>
      <c r="AA178" s="35"/>
      <c r="AB178" s="36"/>
      <c r="AC178" s="89"/>
      <c r="AD178" s="270">
        <f t="shared" si="9"/>
        <v>183500</v>
      </c>
      <c r="AE178" s="38">
        <f t="shared" si="10"/>
        <v>94364</v>
      </c>
    </row>
    <row r="179" spans="2:31" s="26" customFormat="1" ht="13.5" customHeight="1" x14ac:dyDescent="0.25">
      <c r="B179" s="276">
        <v>179</v>
      </c>
      <c r="C179" s="276" t="s">
        <v>39</v>
      </c>
      <c r="D179" s="237" t="s">
        <v>1211</v>
      </c>
      <c r="E179" s="283" t="s">
        <v>1212</v>
      </c>
      <c r="F179" s="30" t="s">
        <v>147</v>
      </c>
      <c r="G179" s="30" t="s">
        <v>847</v>
      </c>
      <c r="H179" s="42" t="s">
        <v>868</v>
      </c>
      <c r="I179" s="274" t="s">
        <v>57</v>
      </c>
      <c r="J179" s="271">
        <v>529427</v>
      </c>
      <c r="K179" s="31">
        <v>291985</v>
      </c>
      <c r="L179" s="31">
        <v>0</v>
      </c>
      <c r="M179" s="31"/>
      <c r="N179" s="31"/>
      <c r="O179" s="31">
        <v>121441</v>
      </c>
      <c r="P179" s="31"/>
      <c r="Q179" s="31">
        <f t="shared" si="11"/>
        <v>121441</v>
      </c>
      <c r="R179" s="238">
        <v>122000</v>
      </c>
      <c r="S179" s="33">
        <v>18</v>
      </c>
      <c r="T179" s="89">
        <v>44242</v>
      </c>
      <c r="U179" s="89">
        <v>44270</v>
      </c>
      <c r="V179" s="89"/>
      <c r="W179" s="89"/>
      <c r="X179" s="89"/>
      <c r="Y179" s="89"/>
      <c r="Z179" s="32"/>
      <c r="AA179" s="35"/>
      <c r="AB179" s="36"/>
      <c r="AC179" s="89"/>
      <c r="AD179" s="270">
        <f t="shared" si="9"/>
        <v>122000</v>
      </c>
      <c r="AE179" s="38">
        <f t="shared" si="10"/>
        <v>559</v>
      </c>
    </row>
    <row r="180" spans="2:31" s="26" customFormat="1" ht="13.5" customHeight="1" x14ac:dyDescent="0.25">
      <c r="B180" s="276">
        <v>180</v>
      </c>
      <c r="C180" s="276" t="s">
        <v>39</v>
      </c>
      <c r="D180" s="237" t="s">
        <v>1213</v>
      </c>
      <c r="E180" s="283" t="s">
        <v>1214</v>
      </c>
      <c r="F180" s="30" t="s">
        <v>147</v>
      </c>
      <c r="G180" s="30" t="s">
        <v>847</v>
      </c>
      <c r="H180" s="42" t="s">
        <v>893</v>
      </c>
      <c r="I180" s="274" t="s">
        <v>57</v>
      </c>
      <c r="J180" s="271">
        <v>409112</v>
      </c>
      <c r="K180" s="31">
        <v>371878</v>
      </c>
      <c r="L180" s="31">
        <v>0</v>
      </c>
      <c r="M180" s="31"/>
      <c r="N180" s="31"/>
      <c r="O180" s="31"/>
      <c r="P180" s="31"/>
      <c r="Q180" s="31">
        <f t="shared" si="11"/>
        <v>0</v>
      </c>
      <c r="R180" s="32">
        <v>37234</v>
      </c>
      <c r="S180" s="33">
        <v>19</v>
      </c>
      <c r="T180" s="41">
        <v>44242</v>
      </c>
      <c r="U180" s="89">
        <v>44271</v>
      </c>
      <c r="V180" s="89"/>
      <c r="W180" s="89"/>
      <c r="X180" s="89"/>
      <c r="Y180" s="89"/>
      <c r="Z180" s="32"/>
      <c r="AA180" s="35"/>
      <c r="AB180" s="36"/>
      <c r="AC180" s="89"/>
      <c r="AD180" s="270">
        <f t="shared" si="9"/>
        <v>37234</v>
      </c>
      <c r="AE180" s="38">
        <f t="shared" si="10"/>
        <v>37234</v>
      </c>
    </row>
    <row r="181" spans="2:31" s="26" customFormat="1" ht="13.5" customHeight="1" x14ac:dyDescent="0.25">
      <c r="B181" s="276">
        <v>181</v>
      </c>
      <c r="C181" s="276" t="s">
        <v>39</v>
      </c>
      <c r="D181" s="28" t="s">
        <v>1215</v>
      </c>
      <c r="E181" s="283" t="s">
        <v>1216</v>
      </c>
      <c r="F181" s="30" t="s">
        <v>147</v>
      </c>
      <c r="G181" s="30" t="s">
        <v>847</v>
      </c>
      <c r="H181" s="42" t="s">
        <v>552</v>
      </c>
      <c r="I181" s="274" t="s">
        <v>57</v>
      </c>
      <c r="J181" s="271">
        <v>1213995</v>
      </c>
      <c r="K181" s="31">
        <v>827098</v>
      </c>
      <c r="L181" s="31">
        <v>0</v>
      </c>
      <c r="M181" s="31"/>
      <c r="N181" s="31"/>
      <c r="O181" s="31"/>
      <c r="P181" s="31"/>
      <c r="Q181" s="31">
        <f t="shared" si="11"/>
        <v>0</v>
      </c>
      <c r="R181" s="32">
        <v>100000</v>
      </c>
      <c r="S181" s="33">
        <v>21</v>
      </c>
      <c r="T181" s="41">
        <v>44256</v>
      </c>
      <c r="U181" s="89">
        <v>44274</v>
      </c>
      <c r="V181" s="89"/>
      <c r="W181" s="89"/>
      <c r="X181" s="89"/>
      <c r="Y181" s="89"/>
      <c r="Z181" s="32"/>
      <c r="AA181" s="35"/>
      <c r="AB181" s="36"/>
      <c r="AC181" s="89"/>
      <c r="AD181" s="270">
        <f t="shared" si="9"/>
        <v>100000</v>
      </c>
      <c r="AE181" s="38">
        <f t="shared" si="10"/>
        <v>100000</v>
      </c>
    </row>
    <row r="182" spans="2:31" s="26" customFormat="1" ht="13.5" customHeight="1" x14ac:dyDescent="0.25">
      <c r="B182" s="276">
        <v>182</v>
      </c>
      <c r="C182" s="276" t="s">
        <v>39</v>
      </c>
      <c r="D182" s="110" t="s">
        <v>1217</v>
      </c>
      <c r="E182" s="239" t="s">
        <v>1218</v>
      </c>
      <c r="F182" s="30" t="s">
        <v>193</v>
      </c>
      <c r="G182" s="30" t="s">
        <v>847</v>
      </c>
      <c r="H182" s="42" t="s">
        <v>1219</v>
      </c>
      <c r="I182" s="274" t="s">
        <v>72</v>
      </c>
      <c r="J182" s="271">
        <v>1591290</v>
      </c>
      <c r="K182" s="31">
        <v>0</v>
      </c>
      <c r="L182" s="31">
        <v>696936</v>
      </c>
      <c r="M182" s="31"/>
      <c r="N182" s="31"/>
      <c r="O182" s="31"/>
      <c r="P182" s="31"/>
      <c r="Q182" s="31">
        <f t="shared" si="11"/>
        <v>0</v>
      </c>
      <c r="R182" s="32">
        <v>2</v>
      </c>
      <c r="S182" s="33">
        <v>22</v>
      </c>
      <c r="T182" s="41">
        <v>44256</v>
      </c>
      <c r="U182" s="89">
        <v>44277</v>
      </c>
      <c r="V182" s="89"/>
      <c r="W182" s="89"/>
      <c r="X182" s="89"/>
      <c r="Y182" s="89"/>
      <c r="Z182" s="32"/>
      <c r="AA182" s="35"/>
      <c r="AB182" s="36"/>
      <c r="AC182" s="89"/>
      <c r="AD182" s="270">
        <f t="shared" si="9"/>
        <v>2</v>
      </c>
      <c r="AE182" s="38">
        <f t="shared" si="10"/>
        <v>2</v>
      </c>
    </row>
    <row r="183" spans="2:31" s="26" customFormat="1" ht="13.5" customHeight="1" x14ac:dyDescent="0.25">
      <c r="B183" s="276">
        <v>183</v>
      </c>
      <c r="C183" s="276" t="s">
        <v>39</v>
      </c>
      <c r="D183" s="110" t="s">
        <v>1220</v>
      </c>
      <c r="E183" s="239" t="s">
        <v>1221</v>
      </c>
      <c r="F183" s="30" t="s">
        <v>147</v>
      </c>
      <c r="G183" s="30" t="s">
        <v>847</v>
      </c>
      <c r="H183" s="42" t="s">
        <v>1219</v>
      </c>
      <c r="I183" s="274" t="s">
        <v>57</v>
      </c>
      <c r="J183" s="271">
        <v>544919</v>
      </c>
      <c r="K183" s="31">
        <v>505459</v>
      </c>
      <c r="L183" s="31">
        <v>0</v>
      </c>
      <c r="M183" s="31"/>
      <c r="N183" s="31"/>
      <c r="O183" s="31"/>
      <c r="P183" s="31"/>
      <c r="Q183" s="31">
        <f t="shared" si="11"/>
        <v>0</v>
      </c>
      <c r="R183" s="32">
        <v>14371</v>
      </c>
      <c r="S183" s="33">
        <v>22</v>
      </c>
      <c r="T183" s="41">
        <v>44256</v>
      </c>
      <c r="U183" s="89">
        <v>44277</v>
      </c>
      <c r="V183" s="89"/>
      <c r="W183" s="89"/>
      <c r="X183" s="89"/>
      <c r="Y183" s="89"/>
      <c r="Z183" s="32"/>
      <c r="AA183" s="35"/>
      <c r="AB183" s="36"/>
      <c r="AC183" s="89"/>
      <c r="AD183" s="270">
        <f t="shared" si="9"/>
        <v>14371</v>
      </c>
      <c r="AE183" s="38">
        <f t="shared" si="10"/>
        <v>14371</v>
      </c>
    </row>
    <row r="184" spans="2:31" s="26" customFormat="1" ht="13.5" customHeight="1" x14ac:dyDescent="0.25">
      <c r="B184" s="276">
        <v>184</v>
      </c>
      <c r="C184" s="276" t="s">
        <v>42</v>
      </c>
      <c r="D184" s="110" t="s">
        <v>1222</v>
      </c>
      <c r="E184" s="239" t="s">
        <v>1223</v>
      </c>
      <c r="F184" s="30" t="s">
        <v>147</v>
      </c>
      <c r="G184" s="30" t="s">
        <v>847</v>
      </c>
      <c r="H184" s="42" t="s">
        <v>848</v>
      </c>
      <c r="I184" s="274" t="s">
        <v>57</v>
      </c>
      <c r="J184" s="271">
        <v>339178</v>
      </c>
      <c r="K184" s="31">
        <v>0</v>
      </c>
      <c r="L184" s="31">
        <v>178414</v>
      </c>
      <c r="M184" s="31"/>
      <c r="N184" s="31"/>
      <c r="O184" s="31"/>
      <c r="P184" s="31"/>
      <c r="Q184" s="31">
        <f t="shared" si="11"/>
        <v>0</v>
      </c>
      <c r="R184" s="32">
        <v>160000</v>
      </c>
      <c r="S184" s="33">
        <v>23</v>
      </c>
      <c r="T184" s="41">
        <v>44263</v>
      </c>
      <c r="U184" s="89">
        <v>44284</v>
      </c>
      <c r="V184" s="89"/>
      <c r="W184" s="89"/>
      <c r="X184" s="89"/>
      <c r="Y184" s="89"/>
      <c r="Z184" s="32"/>
      <c r="AA184" s="35"/>
      <c r="AB184" s="36"/>
      <c r="AC184" s="89"/>
      <c r="AD184" s="270">
        <f t="shared" si="9"/>
        <v>160000</v>
      </c>
      <c r="AE184" s="38">
        <f t="shared" si="10"/>
        <v>160000</v>
      </c>
    </row>
    <row r="185" spans="2:31" s="26" customFormat="1" ht="13.5" customHeight="1" x14ac:dyDescent="0.25">
      <c r="B185" s="276">
        <v>185</v>
      </c>
      <c r="C185" s="276" t="s">
        <v>42</v>
      </c>
      <c r="D185" s="110" t="s">
        <v>1224</v>
      </c>
      <c r="E185" s="239" t="s">
        <v>1225</v>
      </c>
      <c r="F185" s="30" t="s">
        <v>147</v>
      </c>
      <c r="G185" s="30" t="s">
        <v>847</v>
      </c>
      <c r="H185" s="42" t="s">
        <v>893</v>
      </c>
      <c r="I185" s="274" t="s">
        <v>72</v>
      </c>
      <c r="J185" s="271">
        <v>413402</v>
      </c>
      <c r="K185" s="31">
        <v>0</v>
      </c>
      <c r="L185" s="31">
        <v>98200</v>
      </c>
      <c r="M185" s="31"/>
      <c r="N185" s="31"/>
      <c r="O185" s="31"/>
      <c r="P185" s="31"/>
      <c r="Q185" s="31">
        <f t="shared" si="11"/>
        <v>0</v>
      </c>
      <c r="R185" s="32">
        <v>160000</v>
      </c>
      <c r="S185" s="33">
        <v>23</v>
      </c>
      <c r="T185" s="41">
        <v>44263</v>
      </c>
      <c r="U185" s="89">
        <v>44284</v>
      </c>
      <c r="V185" s="89"/>
      <c r="W185" s="89"/>
      <c r="X185" s="89"/>
      <c r="Y185" s="89"/>
      <c r="Z185" s="32"/>
      <c r="AA185" s="35"/>
      <c r="AB185" s="36"/>
      <c r="AC185" s="89"/>
      <c r="AD185" s="270">
        <f t="shared" si="9"/>
        <v>160000</v>
      </c>
      <c r="AE185" s="38">
        <f t="shared" si="10"/>
        <v>160000</v>
      </c>
    </row>
    <row r="186" spans="2:31" s="26" customFormat="1" ht="13.5" customHeight="1" x14ac:dyDescent="0.25">
      <c r="B186" s="276">
        <v>186</v>
      </c>
      <c r="C186" s="276" t="s">
        <v>42</v>
      </c>
      <c r="D186" s="110" t="s">
        <v>1226</v>
      </c>
      <c r="E186" s="239" t="s">
        <v>1227</v>
      </c>
      <c r="F186" s="30" t="s">
        <v>147</v>
      </c>
      <c r="G186" s="30" t="s">
        <v>847</v>
      </c>
      <c r="H186" s="42" t="s">
        <v>863</v>
      </c>
      <c r="I186" s="274" t="s">
        <v>57</v>
      </c>
      <c r="J186" s="271">
        <v>122983</v>
      </c>
      <c r="K186" s="31">
        <v>113608</v>
      </c>
      <c r="L186" s="31">
        <v>0</v>
      </c>
      <c r="M186" s="31"/>
      <c r="N186" s="31"/>
      <c r="O186" s="31"/>
      <c r="P186" s="31"/>
      <c r="Q186" s="31">
        <f t="shared" si="11"/>
        <v>0</v>
      </c>
      <c r="R186" s="32">
        <v>9375</v>
      </c>
      <c r="S186" s="33">
        <v>23</v>
      </c>
      <c r="T186" s="41">
        <v>44263</v>
      </c>
      <c r="U186" s="89">
        <v>44284</v>
      </c>
      <c r="V186" s="89"/>
      <c r="W186" s="89"/>
      <c r="X186" s="89"/>
      <c r="Y186" s="89"/>
      <c r="Z186" s="32"/>
      <c r="AA186" s="35"/>
      <c r="AB186" s="36"/>
      <c r="AC186" s="89"/>
      <c r="AD186" s="270">
        <f t="shared" si="9"/>
        <v>9375</v>
      </c>
      <c r="AE186" s="38">
        <f t="shared" si="10"/>
        <v>9375</v>
      </c>
    </row>
    <row r="187" spans="2:31" s="26" customFormat="1" ht="13.5" customHeight="1" x14ac:dyDescent="0.25">
      <c r="B187" s="276">
        <v>187</v>
      </c>
      <c r="C187" s="276" t="s">
        <v>42</v>
      </c>
      <c r="D187" s="110" t="s">
        <v>1228</v>
      </c>
      <c r="E187" s="239" t="s">
        <v>1229</v>
      </c>
      <c r="F187" s="30" t="s">
        <v>147</v>
      </c>
      <c r="G187" s="30" t="s">
        <v>847</v>
      </c>
      <c r="H187" s="42" t="s">
        <v>552</v>
      </c>
      <c r="I187" s="274" t="s">
        <v>72</v>
      </c>
      <c r="J187" s="271">
        <v>246558</v>
      </c>
      <c r="K187" s="31">
        <v>0</v>
      </c>
      <c r="L187" s="31">
        <v>166558</v>
      </c>
      <c r="M187" s="31"/>
      <c r="N187" s="31"/>
      <c r="O187" s="31"/>
      <c r="P187" s="31"/>
      <c r="Q187" s="31">
        <f t="shared" si="11"/>
        <v>0</v>
      </c>
      <c r="R187" s="32">
        <v>1</v>
      </c>
      <c r="S187" s="33">
        <v>23</v>
      </c>
      <c r="T187" s="41">
        <v>44263</v>
      </c>
      <c r="U187" s="89">
        <v>44284</v>
      </c>
      <c r="V187" s="89"/>
      <c r="W187" s="89"/>
      <c r="X187" s="89"/>
      <c r="Y187" s="89"/>
      <c r="Z187" s="32"/>
      <c r="AA187" s="35"/>
      <c r="AB187" s="36"/>
      <c r="AC187" s="89"/>
      <c r="AD187" s="270">
        <f t="shared" si="9"/>
        <v>1</v>
      </c>
      <c r="AE187" s="38">
        <f>+AD187-Q187</f>
        <v>1</v>
      </c>
    </row>
    <row r="188" spans="2:31" s="26" customFormat="1" ht="13.5" customHeight="1" x14ac:dyDescent="0.25">
      <c r="B188" s="276">
        <v>188</v>
      </c>
      <c r="C188" s="276" t="s">
        <v>42</v>
      </c>
      <c r="D188" s="110" t="s">
        <v>1230</v>
      </c>
      <c r="E188" s="239" t="s">
        <v>1231</v>
      </c>
      <c r="F188" s="30" t="s">
        <v>147</v>
      </c>
      <c r="G188" s="30" t="s">
        <v>847</v>
      </c>
      <c r="H188" s="42" t="s">
        <v>884</v>
      </c>
      <c r="I188" s="274" t="s">
        <v>72</v>
      </c>
      <c r="J188" s="271">
        <v>204497</v>
      </c>
      <c r="K188" s="31">
        <v>0</v>
      </c>
      <c r="L188" s="31">
        <v>173823</v>
      </c>
      <c r="M188" s="31"/>
      <c r="N188" s="31"/>
      <c r="O188" s="31"/>
      <c r="P188" s="31"/>
      <c r="Q188" s="31">
        <f t="shared" si="11"/>
        <v>0</v>
      </c>
      <c r="R188" s="240">
        <v>1</v>
      </c>
      <c r="S188" s="33">
        <v>23</v>
      </c>
      <c r="T188" s="41">
        <v>44263</v>
      </c>
      <c r="U188" s="89">
        <v>44284</v>
      </c>
      <c r="V188" s="89"/>
      <c r="W188" s="89"/>
      <c r="X188" s="89"/>
      <c r="Y188" s="89"/>
      <c r="Z188" s="32"/>
      <c r="AA188" s="35"/>
      <c r="AB188" s="36"/>
      <c r="AC188" s="89"/>
      <c r="AD188" s="270">
        <f t="shared" si="9"/>
        <v>1</v>
      </c>
      <c r="AE188" s="38">
        <f t="shared" si="10"/>
        <v>1</v>
      </c>
    </row>
    <row r="189" spans="2:31" s="26" customFormat="1" ht="13.5" customHeight="1" x14ac:dyDescent="0.25">
      <c r="B189" s="276">
        <v>189</v>
      </c>
      <c r="C189" s="276" t="s">
        <v>39</v>
      </c>
      <c r="D189" s="110" t="s">
        <v>1232</v>
      </c>
      <c r="E189" s="239" t="s">
        <v>1233</v>
      </c>
      <c r="F189" s="30" t="s">
        <v>147</v>
      </c>
      <c r="G189" s="30" t="s">
        <v>847</v>
      </c>
      <c r="H189" s="42" t="s">
        <v>871</v>
      </c>
      <c r="I189" s="274" t="s">
        <v>72</v>
      </c>
      <c r="J189" s="271">
        <v>403977</v>
      </c>
      <c r="K189" s="31">
        <v>0</v>
      </c>
      <c r="L189" s="31">
        <v>0</v>
      </c>
      <c r="M189" s="31"/>
      <c r="N189" s="31"/>
      <c r="O189" s="31"/>
      <c r="P189" s="31"/>
      <c r="Q189" s="31">
        <f t="shared" si="11"/>
        <v>0</v>
      </c>
      <c r="R189" s="32">
        <v>1</v>
      </c>
      <c r="S189" s="33">
        <v>24</v>
      </c>
      <c r="T189" s="41">
        <v>44263</v>
      </c>
      <c r="U189" s="89">
        <v>44284</v>
      </c>
      <c r="V189" s="89"/>
      <c r="W189" s="89"/>
      <c r="X189" s="89"/>
      <c r="Y189" s="89"/>
      <c r="Z189" s="32"/>
      <c r="AA189" s="35"/>
      <c r="AB189" s="36"/>
      <c r="AC189" s="89"/>
      <c r="AD189" s="270">
        <f t="shared" si="9"/>
        <v>1</v>
      </c>
      <c r="AE189" s="38">
        <f t="shared" si="10"/>
        <v>1</v>
      </c>
    </row>
    <row r="190" spans="2:31" s="26" customFormat="1" ht="13.5" customHeight="1" x14ac:dyDescent="0.25">
      <c r="B190" s="215"/>
      <c r="C190" s="241"/>
      <c r="D190" s="242"/>
      <c r="E190" s="243"/>
      <c r="F190" s="244"/>
      <c r="G190" s="244"/>
      <c r="H190" s="245"/>
      <c r="I190" s="246"/>
      <c r="J190" s="271"/>
      <c r="K190" s="31"/>
      <c r="L190" s="31"/>
      <c r="M190" s="31"/>
      <c r="N190" s="31"/>
      <c r="O190" s="31"/>
      <c r="P190" s="31"/>
      <c r="Q190" s="31"/>
      <c r="R190" s="32"/>
      <c r="S190" s="33"/>
      <c r="T190" s="41"/>
      <c r="U190" s="89"/>
      <c r="V190" s="89"/>
      <c r="W190" s="89"/>
      <c r="X190" s="89"/>
      <c r="Y190" s="89"/>
      <c r="Z190" s="32"/>
      <c r="AA190" s="35"/>
      <c r="AB190" s="36"/>
      <c r="AC190" s="89"/>
      <c r="AD190" s="270"/>
      <c r="AE190" s="38"/>
    </row>
    <row r="191" spans="2:31" s="26" customFormat="1" ht="13.5" customHeight="1" x14ac:dyDescent="0.25">
      <c r="B191" s="215"/>
      <c r="C191" s="241"/>
      <c r="D191" s="242"/>
      <c r="E191" s="243"/>
      <c r="F191" s="244"/>
      <c r="G191" s="244"/>
      <c r="H191" s="245"/>
      <c r="I191" s="246"/>
      <c r="J191" s="216"/>
      <c r="K191" s="31"/>
      <c r="L191" s="31"/>
      <c r="M191" s="31"/>
      <c r="N191" s="31"/>
      <c r="O191" s="31"/>
      <c r="P191" s="31"/>
      <c r="Q191" s="31"/>
      <c r="R191" s="32"/>
      <c r="S191" s="33"/>
      <c r="T191" s="41"/>
      <c r="U191" s="89"/>
      <c r="V191" s="89"/>
      <c r="W191" s="89"/>
      <c r="X191" s="89"/>
      <c r="Y191" s="89"/>
      <c r="Z191" s="32"/>
      <c r="AA191" s="35"/>
      <c r="AB191" s="36"/>
      <c r="AC191" s="89"/>
      <c r="AD191" s="37"/>
      <c r="AE191" s="38"/>
    </row>
    <row r="192" spans="2:31" ht="13.5" customHeight="1" x14ac:dyDescent="0.25">
      <c r="B192" s="534" t="s">
        <v>40</v>
      </c>
      <c r="C192" s="535"/>
      <c r="D192" s="535"/>
      <c r="E192" s="535"/>
      <c r="F192" s="535"/>
      <c r="G192" s="535"/>
      <c r="H192" s="535"/>
      <c r="I192" s="536"/>
      <c r="J192" s="48">
        <f>SUBTOTAL(9,J12:J189)</f>
        <v>286553549</v>
      </c>
      <c r="K192" s="48">
        <f t="shared" ref="K192:AE192" si="12">SUBTOTAL(9,K12:K189)</f>
        <v>86429374</v>
      </c>
      <c r="L192" s="48">
        <f t="shared" si="12"/>
        <v>95722621</v>
      </c>
      <c r="M192" s="48">
        <f t="shared" si="12"/>
        <v>5412852</v>
      </c>
      <c r="N192" s="48">
        <f t="shared" si="12"/>
        <v>3392029</v>
      </c>
      <c r="O192" s="48">
        <f t="shared" si="12"/>
        <v>3736454</v>
      </c>
      <c r="P192" s="48">
        <f t="shared" si="12"/>
        <v>0</v>
      </c>
      <c r="Q192" s="48">
        <f t="shared" si="12"/>
        <v>12541335</v>
      </c>
      <c r="R192" s="48">
        <f t="shared" si="12"/>
        <v>25664805</v>
      </c>
      <c r="S192" s="48"/>
      <c r="T192" s="48"/>
      <c r="U192" s="48"/>
      <c r="V192" s="48">
        <f t="shared" si="12"/>
        <v>5957625</v>
      </c>
      <c r="W192" s="48"/>
      <c r="X192" s="48"/>
      <c r="Y192" s="48"/>
      <c r="Z192" s="48">
        <f t="shared" si="12"/>
        <v>1252</v>
      </c>
      <c r="AA192" s="48">
        <f t="shared" si="12"/>
        <v>17</v>
      </c>
      <c r="AB192" s="48">
        <f t="shared" si="12"/>
        <v>44242</v>
      </c>
      <c r="AC192" s="48">
        <f t="shared" si="12"/>
        <v>44271</v>
      </c>
      <c r="AD192" s="48">
        <f>SUBTOTAL(9,AD12:AD189)</f>
        <v>31623682</v>
      </c>
      <c r="AE192" s="48">
        <f t="shared" si="12"/>
        <v>19082347</v>
      </c>
    </row>
    <row r="193" spans="2:47" ht="13.5" customHeight="1" x14ac:dyDescent="0.2">
      <c r="B193" s="537"/>
      <c r="C193" s="537"/>
      <c r="D193" s="537"/>
      <c r="E193" s="537"/>
      <c r="F193" s="44"/>
      <c r="G193" s="16"/>
      <c r="H193" s="16"/>
    </row>
    <row r="194" spans="2:47" ht="13.5" customHeight="1" x14ac:dyDescent="0.2">
      <c r="B194" s="307"/>
      <c r="C194" s="307"/>
      <c r="D194" s="307"/>
      <c r="E194" s="307"/>
      <c r="F194" s="307"/>
      <c r="G194" s="307"/>
      <c r="H194" s="307"/>
      <c r="I194" s="307"/>
      <c r="J194" s="307"/>
      <c r="K194" s="307"/>
      <c r="L194" s="307"/>
      <c r="M194" s="307"/>
      <c r="N194" s="307"/>
      <c r="O194" s="307"/>
      <c r="P194" s="307"/>
      <c r="Q194" s="307"/>
      <c r="R194" s="308"/>
      <c r="S194" s="307"/>
      <c r="T194" s="307"/>
      <c r="U194" s="307"/>
      <c r="V194" s="164"/>
      <c r="W194" s="164"/>
      <c r="X194" s="164"/>
      <c r="Y194" s="164"/>
      <c r="Z194" s="45"/>
      <c r="AA194" s="46"/>
      <c r="AB194" s="45"/>
      <c r="AC194" s="45"/>
    </row>
    <row r="196" spans="2:47" ht="13.5" customHeight="1" x14ac:dyDescent="0.25">
      <c r="B196" s="545" t="s">
        <v>1234</v>
      </c>
      <c r="C196" s="545"/>
      <c r="D196" s="545"/>
      <c r="E196" s="545"/>
      <c r="F196" s="545"/>
      <c r="G196" s="545"/>
      <c r="H196" s="545"/>
      <c r="I196" s="545"/>
      <c r="J196" s="545"/>
      <c r="K196" s="545"/>
      <c r="L196" s="545"/>
      <c r="M196" s="545"/>
      <c r="N196" s="545"/>
      <c r="O196" s="545"/>
      <c r="P196" s="545"/>
      <c r="Q196" s="545"/>
      <c r="R196" s="545"/>
      <c r="S196" s="545"/>
      <c r="T196" s="545"/>
      <c r="U196" s="545"/>
      <c r="V196" s="545"/>
      <c r="W196" s="545"/>
      <c r="X196" s="545"/>
      <c r="Y196" s="545"/>
      <c r="Z196" s="545"/>
      <c r="AA196" s="545"/>
      <c r="AB196" s="545"/>
      <c r="AC196" s="545"/>
      <c r="AD196" s="545"/>
      <c r="AE196" s="545"/>
      <c r="AF196" s="545"/>
      <c r="AG196" s="545"/>
      <c r="AH196" s="545"/>
      <c r="AI196" s="545"/>
      <c r="AJ196" s="545"/>
      <c r="AK196" s="545"/>
      <c r="AL196" s="545"/>
      <c r="AM196" s="545"/>
      <c r="AN196" s="545"/>
      <c r="AO196" s="545"/>
      <c r="AP196" s="545"/>
      <c r="AQ196" s="545"/>
      <c r="AR196" s="545"/>
      <c r="AS196" s="545"/>
      <c r="AT196" s="545"/>
      <c r="AU196" s="545"/>
    </row>
    <row r="197" spans="2:47" ht="13.5" customHeight="1" x14ac:dyDescent="0.2">
      <c r="S197" s="309"/>
    </row>
    <row r="198" spans="2:47" ht="13.5" customHeight="1" x14ac:dyDescent="0.2">
      <c r="Q198" s="8"/>
    </row>
    <row r="199" spans="2:47" ht="13.5" customHeight="1" x14ac:dyDescent="0.2">
      <c r="O199" s="8"/>
      <c r="R199" s="9"/>
      <c r="S199" s="4"/>
      <c r="Z199" s="8"/>
      <c r="AA199" s="4"/>
    </row>
    <row r="200" spans="2:47" ht="13.5" customHeight="1" x14ac:dyDescent="0.2">
      <c r="J200" s="8"/>
      <c r="R200" s="9"/>
      <c r="S200" s="4"/>
      <c r="Z200" s="8"/>
      <c r="AA200" s="4"/>
    </row>
    <row r="201" spans="2:47" ht="13.5" customHeight="1" x14ac:dyDescent="0.2">
      <c r="J201" s="8"/>
      <c r="R201" s="9"/>
      <c r="S201" s="4"/>
      <c r="Z201" s="8"/>
      <c r="AA201" s="4"/>
    </row>
    <row r="202" spans="2:47" ht="13.5" customHeight="1" x14ac:dyDescent="0.2">
      <c r="R202" s="9"/>
      <c r="S202" s="4"/>
      <c r="Z202" s="8"/>
      <c r="AA202" s="4"/>
    </row>
    <row r="203" spans="2:47" ht="13.5" customHeight="1" x14ac:dyDescent="0.2">
      <c r="R203" s="9"/>
      <c r="S203" s="4"/>
      <c r="Z203" s="8"/>
      <c r="AA203" s="4"/>
    </row>
    <row r="204" spans="2:47" ht="13.5" customHeight="1" x14ac:dyDescent="0.2">
      <c r="R204" s="9"/>
      <c r="S204" s="4"/>
      <c r="Z204" s="8"/>
      <c r="AA204" s="4"/>
    </row>
    <row r="205" spans="2:47" ht="13.5" customHeight="1" x14ac:dyDescent="0.2">
      <c r="R205" s="9"/>
      <c r="S205" s="4"/>
      <c r="Z205" s="8"/>
      <c r="AA205" s="4"/>
    </row>
    <row r="206" spans="2:47" ht="13.5" customHeight="1" x14ac:dyDescent="0.2">
      <c r="R206" s="9"/>
      <c r="S206" s="4"/>
      <c r="Z206" s="8"/>
      <c r="AA206" s="4"/>
    </row>
    <row r="207" spans="2:47" ht="13.5" customHeight="1" x14ac:dyDescent="0.2">
      <c r="R207" s="9"/>
      <c r="S207" s="4"/>
      <c r="Z207" s="8"/>
      <c r="AA207" s="4"/>
    </row>
    <row r="208" spans="2:47" ht="13.5" customHeight="1" x14ac:dyDescent="0.2">
      <c r="R208" s="9"/>
      <c r="S208" s="4"/>
      <c r="Z208" s="8"/>
      <c r="AA208" s="4"/>
    </row>
    <row r="209" spans="18:27" ht="13.5" customHeight="1" x14ac:dyDescent="0.2">
      <c r="R209" s="9"/>
      <c r="S209" s="4"/>
      <c r="Z209" s="8"/>
      <c r="AA209" s="4"/>
    </row>
    <row r="210" spans="18:27" ht="13.5" customHeight="1" x14ac:dyDescent="0.2">
      <c r="R210" s="9"/>
      <c r="S210" s="4"/>
      <c r="Z210" s="8"/>
      <c r="AA210" s="4"/>
    </row>
    <row r="211" spans="18:27" ht="13.5" customHeight="1" x14ac:dyDescent="0.2">
      <c r="R211" s="9"/>
      <c r="S211" s="4"/>
      <c r="Z211" s="8"/>
      <c r="AA211" s="4"/>
    </row>
    <row r="212" spans="18:27" ht="13.5" customHeight="1" x14ac:dyDescent="0.2">
      <c r="R212" s="9"/>
      <c r="S212" s="4"/>
      <c r="Z212" s="8"/>
      <c r="AA212" s="4"/>
    </row>
  </sheetData>
  <autoFilter ref="A11:AU189"/>
  <mergeCells count="12">
    <mergeCell ref="B1:U1"/>
    <mergeCell ref="B2:U2"/>
    <mergeCell ref="B3:U3"/>
    <mergeCell ref="B4:U4"/>
    <mergeCell ref="B5:U6"/>
    <mergeCell ref="B196:AU196"/>
    <mergeCell ref="V10:Y10"/>
    <mergeCell ref="Z10:AC10"/>
    <mergeCell ref="AD10:AE10"/>
    <mergeCell ref="B192:I192"/>
    <mergeCell ref="B193:E193"/>
    <mergeCell ref="R10:U10"/>
  </mergeCells>
  <conditionalFormatting sqref="D12:D69">
    <cfRule type="duplicateValues" dxfId="38" priority="10"/>
  </conditionalFormatting>
  <conditionalFormatting sqref="D71:D76">
    <cfRule type="duplicateValues" dxfId="37" priority="9"/>
  </conditionalFormatting>
  <conditionalFormatting sqref="D71:D76">
    <cfRule type="duplicateValues" dxfId="36" priority="8"/>
  </conditionalFormatting>
  <conditionalFormatting sqref="D70">
    <cfRule type="duplicateValues" dxfId="35" priority="11"/>
  </conditionalFormatting>
  <conditionalFormatting sqref="D12:D70">
    <cfRule type="duplicateValues" dxfId="34" priority="12"/>
  </conditionalFormatting>
  <conditionalFormatting sqref="D167">
    <cfRule type="duplicateValues" dxfId="33" priority="6"/>
  </conditionalFormatting>
  <conditionalFormatting sqref="D168:D176">
    <cfRule type="duplicateValues" dxfId="32" priority="7"/>
  </conditionalFormatting>
  <conditionalFormatting sqref="D177:D178">
    <cfRule type="duplicateValues" dxfId="31" priority="5"/>
  </conditionalFormatting>
  <conditionalFormatting sqref="D180">
    <cfRule type="duplicateValues" dxfId="30" priority="4"/>
  </conditionalFormatting>
  <conditionalFormatting sqref="D182:D183">
    <cfRule type="duplicateValues" dxfId="29" priority="3"/>
  </conditionalFormatting>
  <conditionalFormatting sqref="D184:D188">
    <cfRule type="duplicateValues" dxfId="28" priority="2"/>
  </conditionalFormatting>
  <conditionalFormatting sqref="D189:D191">
    <cfRule type="duplicateValues" dxfId="27" priority="1"/>
  </conditionalFormatting>
  <conditionalFormatting sqref="D179 D131:D166 D181">
    <cfRule type="duplicateValues" dxfId="26" priority="13"/>
  </conditionalFormatting>
  <pageMargins left="0.7" right="0.7" top="0.75" bottom="0.75" header="0.3" footer="0.3"/>
  <pageSetup scale="3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93"/>
  <sheetViews>
    <sheetView showGridLines="0" topLeftCell="A9" zoomScaleNormal="100" workbookViewId="0">
      <pane ySplit="7" topLeftCell="A70" activePane="bottomLeft" state="frozen"/>
      <selection activeCell="A9" sqref="A9"/>
      <selection pane="bottomLeft" activeCell="AE84" sqref="AE84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9" width="9.7109375" style="4" customWidth="1"/>
    <col min="10" max="10" width="11.5703125" style="4" customWidth="1"/>
    <col min="11" max="13" width="12" style="4" customWidth="1"/>
    <col min="14" max="15" width="12.85546875" style="4" bestFit="1" customWidth="1"/>
    <col min="16" max="18" width="12" style="4" customWidth="1"/>
    <col min="19" max="19" width="14.140625" style="4" customWidth="1"/>
    <col min="20" max="20" width="10.140625" style="4" customWidth="1"/>
    <col min="21" max="21" width="10.140625" style="9" customWidth="1"/>
    <col min="22" max="24" width="10.140625" style="4" customWidth="1"/>
    <col min="25" max="25" width="10.140625" style="8" customWidth="1"/>
    <col min="26" max="28" width="10.140625" style="4" customWidth="1"/>
    <col min="29" max="29" width="10.140625" style="9" customWidth="1"/>
    <col min="30" max="32" width="10.140625" style="4" customWidth="1"/>
    <col min="33" max="33" width="10.140625" style="9" customWidth="1"/>
    <col min="34" max="36" width="10.140625" style="4" customWidth="1"/>
    <col min="37" max="37" width="10.140625" style="9" customWidth="1"/>
    <col min="38" max="39" width="10.140625" style="4" customWidth="1"/>
    <col min="40" max="16384" width="11.42578125" style="4"/>
  </cols>
  <sheetData>
    <row r="1" spans="2:41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311"/>
      <c r="Y1" s="2"/>
      <c r="Z1" s="311"/>
      <c r="AA1" s="311"/>
      <c r="AB1" s="311"/>
      <c r="AC1" s="3"/>
      <c r="AD1" s="311"/>
      <c r="AE1" s="311"/>
      <c r="AF1" s="311"/>
      <c r="AG1" s="3"/>
      <c r="AH1" s="311"/>
      <c r="AI1" s="311"/>
      <c r="AJ1" s="311"/>
      <c r="AK1" s="3"/>
      <c r="AL1" s="311"/>
      <c r="AM1" s="311"/>
    </row>
    <row r="2" spans="2:41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311"/>
      <c r="Y2" s="2"/>
      <c r="Z2" s="311"/>
      <c r="AA2" s="311"/>
      <c r="AB2" s="311"/>
      <c r="AC2" s="3"/>
      <c r="AD2" s="311"/>
      <c r="AE2" s="311"/>
      <c r="AF2" s="311"/>
      <c r="AG2" s="3"/>
      <c r="AH2" s="311"/>
      <c r="AI2" s="311"/>
      <c r="AJ2" s="311"/>
      <c r="AK2" s="3"/>
      <c r="AL2" s="311"/>
      <c r="AM2" s="311"/>
    </row>
    <row r="3" spans="2:41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310"/>
      <c r="Y3" s="6"/>
      <c r="Z3" s="310"/>
      <c r="AA3" s="310"/>
      <c r="AB3" s="310"/>
      <c r="AC3" s="7"/>
      <c r="AD3" s="310"/>
      <c r="AE3" s="310"/>
      <c r="AF3" s="310"/>
      <c r="AG3" s="7"/>
      <c r="AH3" s="310"/>
      <c r="AI3" s="310"/>
      <c r="AJ3" s="310"/>
      <c r="AK3" s="7"/>
      <c r="AL3" s="310"/>
      <c r="AM3" s="310"/>
    </row>
    <row r="4" spans="2:41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310"/>
      <c r="Y4" s="6"/>
      <c r="Z4" s="310"/>
      <c r="AA4" s="310"/>
      <c r="AB4" s="310"/>
      <c r="AC4" s="7"/>
      <c r="AD4" s="310"/>
      <c r="AE4" s="310"/>
      <c r="AF4" s="310"/>
      <c r="AG4" s="7"/>
      <c r="AH4" s="310"/>
      <c r="AI4" s="310"/>
      <c r="AJ4" s="310"/>
      <c r="AK4" s="7"/>
      <c r="AL4" s="310"/>
      <c r="AM4" s="310"/>
    </row>
    <row r="5" spans="2:41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310"/>
      <c r="Y5" s="6"/>
      <c r="Z5" s="310"/>
      <c r="AA5" s="310"/>
      <c r="AB5" s="310"/>
      <c r="AC5" s="7"/>
      <c r="AD5" s="310"/>
      <c r="AE5" s="310"/>
      <c r="AF5" s="310"/>
      <c r="AG5" s="7"/>
      <c r="AH5" s="310"/>
      <c r="AI5" s="310"/>
      <c r="AJ5" s="310"/>
      <c r="AK5" s="7"/>
      <c r="AL5" s="310"/>
      <c r="AM5" s="310"/>
    </row>
    <row r="6" spans="2:41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310"/>
      <c r="Y6" s="6"/>
      <c r="Z6" s="310"/>
      <c r="AA6" s="310"/>
      <c r="AB6" s="310"/>
      <c r="AC6" s="7"/>
      <c r="AD6" s="310"/>
      <c r="AE6" s="310"/>
      <c r="AF6" s="310"/>
      <c r="AG6" s="7"/>
      <c r="AH6" s="310"/>
      <c r="AI6" s="310"/>
      <c r="AJ6" s="310"/>
      <c r="AK6" s="7"/>
      <c r="AL6" s="310"/>
      <c r="AM6" s="310"/>
    </row>
    <row r="7" spans="2:41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310"/>
      <c r="Y7" s="6"/>
      <c r="Z7" s="310"/>
      <c r="AA7" s="310"/>
      <c r="AB7" s="310"/>
      <c r="AC7" s="7"/>
      <c r="AD7" s="310"/>
      <c r="AE7" s="310"/>
      <c r="AF7" s="310"/>
      <c r="AG7" s="7"/>
      <c r="AH7" s="310"/>
      <c r="AI7" s="310"/>
      <c r="AJ7" s="310"/>
      <c r="AK7" s="7"/>
      <c r="AL7" s="310"/>
      <c r="AM7" s="310"/>
    </row>
    <row r="8" spans="2:41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310"/>
      <c r="Y8" s="6"/>
      <c r="Z8" s="310"/>
      <c r="AA8" s="310"/>
      <c r="AB8" s="310"/>
      <c r="AC8" s="7"/>
      <c r="AD8" s="310"/>
      <c r="AE8" s="310"/>
      <c r="AF8" s="310"/>
      <c r="AG8" s="7"/>
      <c r="AH8" s="310"/>
      <c r="AI8" s="310"/>
      <c r="AJ8" s="310"/>
      <c r="AK8" s="7"/>
      <c r="AL8" s="310"/>
      <c r="AM8" s="310"/>
    </row>
    <row r="9" spans="2:41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310"/>
      <c r="Y9" s="6"/>
      <c r="Z9" s="310"/>
      <c r="AA9" s="310"/>
      <c r="AB9" s="310"/>
      <c r="AC9" s="7"/>
      <c r="AD9" s="310"/>
      <c r="AE9" s="310"/>
      <c r="AF9" s="310"/>
      <c r="AG9" s="7"/>
      <c r="AH9" s="310"/>
      <c r="AI9" s="310"/>
      <c r="AJ9" s="310"/>
      <c r="AK9" s="7"/>
      <c r="AL9" s="310"/>
      <c r="AM9" s="310"/>
    </row>
    <row r="10" spans="2:41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</row>
    <row r="11" spans="2:41" ht="18.75" x14ac:dyDescent="0.2">
      <c r="B11" s="312"/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12"/>
      <c r="U11" s="312"/>
      <c r="V11" s="312"/>
      <c r="W11" s="312"/>
    </row>
    <row r="12" spans="2:41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312"/>
      <c r="H12" s="312"/>
      <c r="I12" s="312"/>
      <c r="J12" s="312"/>
      <c r="K12" s="312"/>
      <c r="L12" s="312"/>
      <c r="M12" s="312"/>
      <c r="N12" s="312"/>
      <c r="O12" s="312"/>
      <c r="P12" s="312"/>
      <c r="Q12" s="312"/>
      <c r="R12" s="312"/>
      <c r="S12" s="312"/>
      <c r="T12" s="312"/>
      <c r="U12" s="312"/>
      <c r="V12" s="312"/>
      <c r="W12" s="312"/>
    </row>
    <row r="13" spans="2:41" ht="12.75" x14ac:dyDescent="0.2">
      <c r="B13" s="15">
        <v>42725793</v>
      </c>
      <c r="C13" s="15">
        <v>41886131</v>
      </c>
      <c r="D13" s="15">
        <v>41747727</v>
      </c>
      <c r="E13" s="15">
        <f>+S83</f>
        <v>4230812</v>
      </c>
    </row>
    <row r="14" spans="2:41" ht="15" customHeight="1" x14ac:dyDescent="0.2">
      <c r="C14" s="17"/>
      <c r="D14" s="18"/>
      <c r="E14" s="17"/>
      <c r="F14" s="17"/>
      <c r="T14" s="531" t="s">
        <v>5</v>
      </c>
      <c r="U14" s="532"/>
      <c r="V14" s="532"/>
      <c r="W14" s="533"/>
      <c r="X14" s="524" t="s">
        <v>6</v>
      </c>
      <c r="Y14" s="525"/>
      <c r="Z14" s="525"/>
      <c r="AA14" s="526"/>
      <c r="AB14" s="524" t="s">
        <v>6</v>
      </c>
      <c r="AC14" s="525"/>
      <c r="AD14" s="525"/>
      <c r="AE14" s="526"/>
      <c r="AF14" s="524" t="s">
        <v>6</v>
      </c>
      <c r="AG14" s="525"/>
      <c r="AH14" s="525"/>
      <c r="AI14" s="526"/>
      <c r="AJ14" s="524" t="s">
        <v>6</v>
      </c>
      <c r="AK14" s="525"/>
      <c r="AL14" s="525"/>
      <c r="AM14" s="526"/>
      <c r="AN14" s="518" t="s">
        <v>7</v>
      </c>
      <c r="AO14" s="518"/>
    </row>
    <row r="15" spans="2:41" s="26" customFormat="1" ht="55.5" customHeight="1" x14ac:dyDescent="0.25">
      <c r="B15" s="185" t="s">
        <v>8</v>
      </c>
      <c r="C15" s="185" t="s">
        <v>9</v>
      </c>
      <c r="D15" s="185" t="s">
        <v>10</v>
      </c>
      <c r="E15" s="12" t="s">
        <v>11</v>
      </c>
      <c r="F15" s="12" t="s">
        <v>12</v>
      </c>
      <c r="G15" s="12" t="s">
        <v>13</v>
      </c>
      <c r="H15" s="12" t="s">
        <v>14</v>
      </c>
      <c r="I15" s="12" t="s">
        <v>15</v>
      </c>
      <c r="J15" s="12" t="s">
        <v>16</v>
      </c>
      <c r="K15" s="386" t="s">
        <v>17</v>
      </c>
      <c r="L15" s="386" t="s">
        <v>18</v>
      </c>
      <c r="M15" s="186" t="s">
        <v>19</v>
      </c>
      <c r="N15" s="186" t="s">
        <v>20</v>
      </c>
      <c r="O15" s="186" t="s">
        <v>21</v>
      </c>
      <c r="P15" s="186" t="s">
        <v>22</v>
      </c>
      <c r="Q15" s="186" t="s">
        <v>23</v>
      </c>
      <c r="R15" s="187" t="s">
        <v>24</v>
      </c>
      <c r="S15" s="188" t="s">
        <v>31</v>
      </c>
      <c r="T15" s="22" t="s">
        <v>32</v>
      </c>
      <c r="U15" s="23" t="s">
        <v>33</v>
      </c>
      <c r="V15" s="22" t="s">
        <v>34</v>
      </c>
      <c r="W15" s="22" t="s">
        <v>35</v>
      </c>
      <c r="X15" s="24" t="s">
        <v>36</v>
      </c>
      <c r="Y15" s="25" t="s">
        <v>33</v>
      </c>
      <c r="Z15" s="24" t="s">
        <v>34</v>
      </c>
      <c r="AA15" s="24" t="s">
        <v>35</v>
      </c>
      <c r="AB15" s="24" t="s">
        <v>36</v>
      </c>
      <c r="AC15" s="25" t="s">
        <v>33</v>
      </c>
      <c r="AD15" s="24" t="s">
        <v>34</v>
      </c>
      <c r="AE15" s="24" t="s">
        <v>35</v>
      </c>
      <c r="AF15" s="24" t="s">
        <v>36</v>
      </c>
      <c r="AG15" s="25" t="s">
        <v>33</v>
      </c>
      <c r="AH15" s="24" t="s">
        <v>34</v>
      </c>
      <c r="AI15" s="24" t="s">
        <v>35</v>
      </c>
      <c r="AJ15" s="24" t="s">
        <v>36</v>
      </c>
      <c r="AK15" s="25" t="s">
        <v>33</v>
      </c>
      <c r="AL15" s="24" t="s">
        <v>34</v>
      </c>
      <c r="AM15" s="24" t="s">
        <v>35</v>
      </c>
      <c r="AN15" s="49" t="s">
        <v>37</v>
      </c>
      <c r="AO15" s="49" t="s">
        <v>38</v>
      </c>
    </row>
    <row r="16" spans="2:41" s="26" customFormat="1" x14ac:dyDescent="0.2">
      <c r="B16" s="333">
        <v>1</v>
      </c>
      <c r="C16" s="354" t="s">
        <v>42</v>
      </c>
      <c r="D16" s="339">
        <v>40010579</v>
      </c>
      <c r="E16" s="336" t="s">
        <v>1643</v>
      </c>
      <c r="F16" s="344" t="s">
        <v>1641</v>
      </c>
      <c r="G16" s="353" t="s">
        <v>1576</v>
      </c>
      <c r="H16" s="336" t="s">
        <v>1597</v>
      </c>
      <c r="I16" s="384" t="s">
        <v>57</v>
      </c>
      <c r="J16" s="340">
        <v>90162</v>
      </c>
      <c r="K16" s="383">
        <v>35955</v>
      </c>
      <c r="L16" s="383">
        <v>0</v>
      </c>
      <c r="M16" s="382">
        <v>0</v>
      </c>
      <c r="N16" s="382">
        <v>0</v>
      </c>
      <c r="O16" s="382">
        <v>17069</v>
      </c>
      <c r="P16" s="382"/>
      <c r="Q16" s="382"/>
      <c r="R16" s="382"/>
      <c r="S16" s="381">
        <f t="shared" ref="S16:S47" si="0">SUM(M16:R16)</f>
        <v>17069</v>
      </c>
      <c r="T16" s="32">
        <v>54207</v>
      </c>
      <c r="U16" s="318">
        <v>1</v>
      </c>
      <c r="V16" s="325">
        <v>44218</v>
      </c>
      <c r="W16" s="316">
        <v>44246</v>
      </c>
      <c r="X16" s="32"/>
      <c r="Y16" s="35"/>
      <c r="Z16" s="36"/>
      <c r="AA16" s="89"/>
      <c r="AB16" s="32"/>
      <c r="AC16" s="33"/>
      <c r="AD16" s="36"/>
      <c r="AE16" s="89"/>
      <c r="AF16" s="32"/>
      <c r="AG16" s="33"/>
      <c r="AH16" s="36"/>
      <c r="AI16" s="89"/>
      <c r="AJ16" s="32"/>
      <c r="AK16" s="33"/>
      <c r="AL16" s="36"/>
      <c r="AM16" s="89"/>
      <c r="AN16" s="324">
        <f t="shared" ref="AN16:AN47" si="1">+T16+X16+AB16+AF16+AJ16</f>
        <v>54207</v>
      </c>
      <c r="AO16" s="323">
        <f t="shared" ref="AO16:AO22" si="2">+AN16-S16</f>
        <v>37138</v>
      </c>
    </row>
    <row r="17" spans="2:41" s="26" customFormat="1" x14ac:dyDescent="0.2">
      <c r="B17" s="333">
        <v>2</v>
      </c>
      <c r="C17" s="343" t="s">
        <v>42</v>
      </c>
      <c r="D17" s="331">
        <v>40004633</v>
      </c>
      <c r="E17" s="328" t="s">
        <v>1642</v>
      </c>
      <c r="F17" s="342" t="s">
        <v>1641</v>
      </c>
      <c r="G17" s="352" t="s">
        <v>1576</v>
      </c>
      <c r="H17" s="380" t="s">
        <v>1587</v>
      </c>
      <c r="I17" s="88" t="s">
        <v>57</v>
      </c>
      <c r="J17" s="379">
        <v>140350</v>
      </c>
      <c r="K17" s="326">
        <v>0</v>
      </c>
      <c r="L17" s="326">
        <v>0</v>
      </c>
      <c r="M17" s="31">
        <v>0</v>
      </c>
      <c r="N17" s="31">
        <v>0</v>
      </c>
      <c r="O17" s="31">
        <v>0</v>
      </c>
      <c r="P17" s="31"/>
      <c r="Q17" s="31"/>
      <c r="R17" s="31"/>
      <c r="S17" s="92">
        <f t="shared" si="0"/>
        <v>0</v>
      </c>
      <c r="T17" s="32">
        <v>140350</v>
      </c>
      <c r="U17" s="318">
        <v>1</v>
      </c>
      <c r="V17" s="325">
        <v>44218</v>
      </c>
      <c r="W17" s="316">
        <v>44246</v>
      </c>
      <c r="X17" s="32">
        <v>-140350</v>
      </c>
      <c r="Y17" s="35">
        <v>10</v>
      </c>
      <c r="Z17" s="36">
        <v>44252</v>
      </c>
      <c r="AA17" s="89">
        <v>44277</v>
      </c>
      <c r="AB17" s="32"/>
      <c r="AC17" s="33"/>
      <c r="AD17" s="36"/>
      <c r="AE17" s="89"/>
      <c r="AF17" s="32"/>
      <c r="AG17" s="33"/>
      <c r="AH17" s="36"/>
      <c r="AI17" s="89"/>
      <c r="AJ17" s="32"/>
      <c r="AK17" s="33"/>
      <c r="AL17" s="36"/>
      <c r="AM17" s="89"/>
      <c r="AN17" s="324">
        <f t="shared" si="1"/>
        <v>0</v>
      </c>
      <c r="AO17" s="323">
        <f t="shared" si="2"/>
        <v>0</v>
      </c>
    </row>
    <row r="18" spans="2:41" s="26" customFormat="1" x14ac:dyDescent="0.2">
      <c r="B18" s="333">
        <v>3</v>
      </c>
      <c r="C18" s="354" t="s">
        <v>39</v>
      </c>
      <c r="D18" s="385">
        <v>20189906</v>
      </c>
      <c r="E18" s="336" t="s">
        <v>1575</v>
      </c>
      <c r="F18" s="344" t="s">
        <v>60</v>
      </c>
      <c r="G18" s="353" t="s">
        <v>1576</v>
      </c>
      <c r="H18" s="336" t="s">
        <v>1577</v>
      </c>
      <c r="I18" s="384" t="s">
        <v>57</v>
      </c>
      <c r="J18" s="340">
        <v>170711</v>
      </c>
      <c r="K18" s="383">
        <v>52318</v>
      </c>
      <c r="L18" s="383">
        <v>0</v>
      </c>
      <c r="M18" s="382">
        <f>LOOKUP('0571'!D18,[1]CHILEINDICA!B:B,[1]CHILEINDICA!AD:AD)</f>
        <v>0</v>
      </c>
      <c r="N18" s="382">
        <v>30900</v>
      </c>
      <c r="O18" s="382">
        <f>LOOKUP(D18,[1]CHILEINDICA!B:B,[1]CHILEINDICA!AF:AF)</f>
        <v>0</v>
      </c>
      <c r="P18" s="382"/>
      <c r="Q18" s="382"/>
      <c r="R18" s="382"/>
      <c r="S18" s="381">
        <f t="shared" si="0"/>
        <v>30900</v>
      </c>
      <c r="T18" s="32">
        <v>118393</v>
      </c>
      <c r="U18" s="318">
        <v>1</v>
      </c>
      <c r="V18" s="325">
        <v>44218</v>
      </c>
      <c r="W18" s="316">
        <v>44246</v>
      </c>
      <c r="X18" s="32"/>
      <c r="Y18" s="35"/>
      <c r="Z18" s="36"/>
      <c r="AA18" s="89"/>
      <c r="AB18" s="32"/>
      <c r="AC18" s="33"/>
      <c r="AD18" s="36"/>
      <c r="AE18" s="89"/>
      <c r="AF18" s="32"/>
      <c r="AG18" s="33"/>
      <c r="AH18" s="36"/>
      <c r="AI18" s="89"/>
      <c r="AJ18" s="32"/>
      <c r="AK18" s="33"/>
      <c r="AL18" s="36"/>
      <c r="AM18" s="89"/>
      <c r="AN18" s="324">
        <f t="shared" si="1"/>
        <v>118393</v>
      </c>
      <c r="AO18" s="323">
        <f t="shared" si="2"/>
        <v>87493</v>
      </c>
    </row>
    <row r="19" spans="2:41" s="26" customFormat="1" x14ac:dyDescent="0.2">
      <c r="B19" s="333">
        <v>4</v>
      </c>
      <c r="C19" s="343" t="s">
        <v>39</v>
      </c>
      <c r="D19" s="331">
        <v>30075319</v>
      </c>
      <c r="E19" s="328" t="s">
        <v>1578</v>
      </c>
      <c r="F19" s="342" t="s">
        <v>54</v>
      </c>
      <c r="G19" s="352" t="s">
        <v>1576</v>
      </c>
      <c r="H19" s="380" t="s">
        <v>1579</v>
      </c>
      <c r="I19" s="88" t="s">
        <v>57</v>
      </c>
      <c r="J19" s="379">
        <v>9256288</v>
      </c>
      <c r="K19" s="326">
        <v>6449697</v>
      </c>
      <c r="L19" s="326">
        <v>0</v>
      </c>
      <c r="M19" s="31">
        <f>LOOKUP([1]CHILEINDICA!B3,[1]CHILEINDICA!B:B,[1]CHILEINDICA!AD:AD)</f>
        <v>0</v>
      </c>
      <c r="N19" s="31">
        <f>LOOKUP(D19,[1]CHILEINDICA!B:B,[1]CHILEINDICA!AE:AE)</f>
        <v>0</v>
      </c>
      <c r="O19" s="31">
        <f>LOOKUP(D19,[1]CHILEINDICA!B:B,[1]CHILEINDICA!AF:AF)</f>
        <v>0</v>
      </c>
      <c r="P19" s="31"/>
      <c r="Q19" s="31"/>
      <c r="R19" s="31"/>
      <c r="S19" s="92">
        <f t="shared" si="0"/>
        <v>0</v>
      </c>
      <c r="T19" s="32">
        <v>775569</v>
      </c>
      <c r="U19" s="318">
        <v>1</v>
      </c>
      <c r="V19" s="325">
        <v>44218</v>
      </c>
      <c r="W19" s="316">
        <v>44246</v>
      </c>
      <c r="X19" s="32"/>
      <c r="Y19" s="35"/>
      <c r="Z19" s="36"/>
      <c r="AA19" s="89"/>
      <c r="AB19" s="32"/>
      <c r="AC19" s="33"/>
      <c r="AD19" s="36"/>
      <c r="AE19" s="89"/>
      <c r="AF19" s="32"/>
      <c r="AG19" s="33"/>
      <c r="AH19" s="36"/>
      <c r="AI19" s="89"/>
      <c r="AJ19" s="32"/>
      <c r="AK19" s="33"/>
      <c r="AL19" s="36"/>
      <c r="AM19" s="89"/>
      <c r="AN19" s="324">
        <f t="shared" si="1"/>
        <v>775569</v>
      </c>
      <c r="AO19" s="323">
        <f t="shared" si="2"/>
        <v>775569</v>
      </c>
    </row>
    <row r="20" spans="2:41" s="26" customFormat="1" x14ac:dyDescent="0.2">
      <c r="B20" s="333">
        <v>5</v>
      </c>
      <c r="C20" s="343" t="s">
        <v>39</v>
      </c>
      <c r="D20" s="339">
        <v>30081093</v>
      </c>
      <c r="E20" s="336" t="s">
        <v>1580</v>
      </c>
      <c r="F20" s="338" t="s">
        <v>54</v>
      </c>
      <c r="G20" s="353" t="s">
        <v>1576</v>
      </c>
      <c r="H20" s="336" t="s">
        <v>1581</v>
      </c>
      <c r="I20" s="88" t="s">
        <v>57</v>
      </c>
      <c r="J20" s="340">
        <v>8503455</v>
      </c>
      <c r="K20" s="326">
        <v>8412550</v>
      </c>
      <c r="L20" s="326">
        <v>0</v>
      </c>
      <c r="M20" s="31">
        <f>LOOKUP([1]CHILEINDICA!B4,[1]CHILEINDICA!B:B,[1]CHILEINDICA!AD:AD)</f>
        <v>0</v>
      </c>
      <c r="N20" s="31">
        <v>4500</v>
      </c>
      <c r="O20" s="31">
        <f>LOOKUP(D20,[1]CHILEINDICA!B:B,[1]CHILEINDICA!AF:AF)</f>
        <v>0</v>
      </c>
      <c r="P20" s="31"/>
      <c r="Q20" s="31"/>
      <c r="R20" s="31"/>
      <c r="S20" s="92">
        <f t="shared" si="0"/>
        <v>4500</v>
      </c>
      <c r="T20" s="32">
        <v>28491</v>
      </c>
      <c r="U20" s="318">
        <v>1</v>
      </c>
      <c r="V20" s="325">
        <v>44218</v>
      </c>
      <c r="W20" s="316">
        <v>44246</v>
      </c>
      <c r="X20" s="32"/>
      <c r="Y20" s="35"/>
      <c r="Z20" s="36"/>
      <c r="AA20" s="89"/>
      <c r="AB20" s="32"/>
      <c r="AC20" s="33"/>
      <c r="AD20" s="36"/>
      <c r="AE20" s="89"/>
      <c r="AF20" s="32"/>
      <c r="AG20" s="33"/>
      <c r="AH20" s="36"/>
      <c r="AI20" s="89"/>
      <c r="AJ20" s="32"/>
      <c r="AK20" s="33"/>
      <c r="AL20" s="36"/>
      <c r="AM20" s="89"/>
      <c r="AN20" s="324">
        <f t="shared" si="1"/>
        <v>28491</v>
      </c>
      <c r="AO20" s="323">
        <f t="shared" si="2"/>
        <v>23991</v>
      </c>
    </row>
    <row r="21" spans="2:41" s="26" customFormat="1" x14ac:dyDescent="0.2">
      <c r="B21" s="333">
        <v>6</v>
      </c>
      <c r="C21" s="343" t="s">
        <v>39</v>
      </c>
      <c r="D21" s="331">
        <v>30102353</v>
      </c>
      <c r="E21" s="328" t="s">
        <v>1582</v>
      </c>
      <c r="F21" s="330" t="s">
        <v>60</v>
      </c>
      <c r="G21" s="352" t="s">
        <v>1576</v>
      </c>
      <c r="H21" s="380" t="s">
        <v>1583</v>
      </c>
      <c r="I21" s="88" t="s">
        <v>57</v>
      </c>
      <c r="J21" s="379">
        <v>386188</v>
      </c>
      <c r="K21" s="326">
        <v>356199</v>
      </c>
      <c r="L21" s="326">
        <v>0</v>
      </c>
      <c r="M21" s="31">
        <f>LOOKUP([1]CHILEINDICA!B5,[1]CHILEINDICA!B:B,[1]CHILEINDICA!AD:AD)</f>
        <v>0</v>
      </c>
      <c r="N21" s="31">
        <f>LOOKUP(D21,[1]CHILEINDICA!B:B,[1]CHILEINDICA!AE:AE)</f>
        <v>0</v>
      </c>
      <c r="O21" s="31">
        <f>LOOKUP(D21,[1]CHILEINDICA!B:B,[1]CHILEINDICA!AF:AF)</f>
        <v>0</v>
      </c>
      <c r="P21" s="31"/>
      <c r="Q21" s="31"/>
      <c r="R21" s="31"/>
      <c r="S21" s="92">
        <f t="shared" si="0"/>
        <v>0</v>
      </c>
      <c r="T21" s="32">
        <v>27000</v>
      </c>
      <c r="U21" s="318">
        <v>1</v>
      </c>
      <c r="V21" s="325">
        <v>44218</v>
      </c>
      <c r="W21" s="316">
        <v>44246</v>
      </c>
      <c r="X21" s="32"/>
      <c r="Y21" s="35"/>
      <c r="Z21" s="36"/>
      <c r="AA21" s="89"/>
      <c r="AB21" s="32"/>
      <c r="AC21" s="33"/>
      <c r="AD21" s="36"/>
      <c r="AE21" s="89"/>
      <c r="AF21" s="32"/>
      <c r="AG21" s="33"/>
      <c r="AH21" s="36"/>
      <c r="AI21" s="89"/>
      <c r="AJ21" s="32"/>
      <c r="AK21" s="33"/>
      <c r="AL21" s="36"/>
      <c r="AM21" s="89"/>
      <c r="AN21" s="324">
        <f t="shared" si="1"/>
        <v>27000</v>
      </c>
      <c r="AO21" s="323">
        <f t="shared" si="2"/>
        <v>27000</v>
      </c>
    </row>
    <row r="22" spans="2:41" s="26" customFormat="1" x14ac:dyDescent="0.2">
      <c r="B22" s="333">
        <v>7</v>
      </c>
      <c r="C22" s="343" t="s">
        <v>39</v>
      </c>
      <c r="D22" s="378">
        <v>30106660</v>
      </c>
      <c r="E22" s="328" t="s">
        <v>1584</v>
      </c>
      <c r="F22" s="373" t="s">
        <v>60</v>
      </c>
      <c r="G22" s="371" t="s">
        <v>1576</v>
      </c>
      <c r="H22" s="336" t="s">
        <v>1577</v>
      </c>
      <c r="I22" s="88" t="s">
        <v>57</v>
      </c>
      <c r="J22" s="340">
        <v>183608</v>
      </c>
      <c r="K22" s="326">
        <v>82599</v>
      </c>
      <c r="L22" s="326">
        <v>0</v>
      </c>
      <c r="M22" s="31">
        <f>LOOKUP([1]CHILEINDICA!B6,[1]CHILEINDICA!B:B,[1]CHILEINDICA!AD:AD)</f>
        <v>0</v>
      </c>
      <c r="N22" s="31">
        <v>55987</v>
      </c>
      <c r="O22" s="31">
        <f>LOOKUP(D22,[1]CHILEINDICA!B:B,[1]CHILEINDICA!AF:AF)</f>
        <v>0</v>
      </c>
      <c r="P22" s="31"/>
      <c r="Q22" s="31"/>
      <c r="R22" s="31"/>
      <c r="S22" s="92">
        <f t="shared" si="0"/>
        <v>55987</v>
      </c>
      <c r="T22" s="32">
        <v>94237</v>
      </c>
      <c r="U22" s="318">
        <v>1</v>
      </c>
      <c r="V22" s="325">
        <v>44218</v>
      </c>
      <c r="W22" s="316">
        <v>44246</v>
      </c>
      <c r="X22" s="32"/>
      <c r="Y22" s="35"/>
      <c r="Z22" s="36"/>
      <c r="AA22" s="89"/>
      <c r="AB22" s="32"/>
      <c r="AC22" s="33"/>
      <c r="AD22" s="36"/>
      <c r="AE22" s="89"/>
      <c r="AF22" s="32"/>
      <c r="AG22" s="33"/>
      <c r="AH22" s="36"/>
      <c r="AI22" s="89"/>
      <c r="AJ22" s="32"/>
      <c r="AK22" s="33"/>
      <c r="AL22" s="36"/>
      <c r="AM22" s="89"/>
      <c r="AN22" s="324">
        <f t="shared" si="1"/>
        <v>94237</v>
      </c>
      <c r="AO22" s="323">
        <f t="shared" si="2"/>
        <v>38250</v>
      </c>
    </row>
    <row r="23" spans="2:41" s="26" customFormat="1" x14ac:dyDescent="0.2">
      <c r="B23" s="333">
        <v>8</v>
      </c>
      <c r="C23" s="343" t="s">
        <v>39</v>
      </c>
      <c r="D23" s="377">
        <v>30108704</v>
      </c>
      <c r="E23" s="336" t="s">
        <v>1585</v>
      </c>
      <c r="F23" s="344" t="s">
        <v>54</v>
      </c>
      <c r="G23" s="371" t="s">
        <v>1576</v>
      </c>
      <c r="H23" s="365" t="s">
        <v>62</v>
      </c>
      <c r="I23" s="88" t="s">
        <v>72</v>
      </c>
      <c r="J23" s="370">
        <v>50000</v>
      </c>
      <c r="K23" s="326">
        <v>1049</v>
      </c>
      <c r="L23" s="326">
        <v>605</v>
      </c>
      <c r="M23" s="31">
        <f>LOOKUP([1]CHILEINDICA!B7,[1]CHILEINDICA!B:B,[1]CHILEINDICA!AD:AD)</f>
        <v>0</v>
      </c>
      <c r="N23" s="31">
        <f>LOOKUP(D23,[1]CHILEINDICA!B:B,[1]CHILEINDICA!AE:AE)</f>
        <v>0</v>
      </c>
      <c r="O23" s="31">
        <f>LOOKUP(D23,[1]CHILEINDICA!B:B,[1]CHILEINDICA!AF:AF)</f>
        <v>0</v>
      </c>
      <c r="P23" s="31"/>
      <c r="Q23" s="31"/>
      <c r="R23" s="31"/>
      <c r="S23" s="92">
        <f t="shared" si="0"/>
        <v>0</v>
      </c>
      <c r="T23" s="32">
        <v>50000</v>
      </c>
      <c r="U23" s="318">
        <v>1</v>
      </c>
      <c r="V23" s="325">
        <v>44218</v>
      </c>
      <c r="W23" s="316">
        <v>44246</v>
      </c>
      <c r="X23" s="32"/>
      <c r="Y23" s="35"/>
      <c r="Z23" s="36"/>
      <c r="AA23" s="89"/>
      <c r="AB23" s="32"/>
      <c r="AC23" s="33"/>
      <c r="AD23" s="36"/>
      <c r="AE23" s="89"/>
      <c r="AF23" s="32"/>
      <c r="AG23" s="33"/>
      <c r="AH23" s="36"/>
      <c r="AI23" s="89"/>
      <c r="AJ23" s="32"/>
      <c r="AK23" s="33"/>
      <c r="AL23" s="36"/>
      <c r="AM23" s="89"/>
      <c r="AN23" s="324">
        <f t="shared" si="1"/>
        <v>50000</v>
      </c>
      <c r="AO23" s="323">
        <f>+AN23-S70</f>
        <v>50000</v>
      </c>
    </row>
    <row r="24" spans="2:41" s="26" customFormat="1" x14ac:dyDescent="0.2">
      <c r="B24" s="333">
        <v>9</v>
      </c>
      <c r="C24" s="356" t="s">
        <v>39</v>
      </c>
      <c r="D24" s="339">
        <v>30109116</v>
      </c>
      <c r="E24" s="328" t="s">
        <v>1586</v>
      </c>
      <c r="F24" s="342" t="s">
        <v>54</v>
      </c>
      <c r="G24" s="371" t="s">
        <v>1576</v>
      </c>
      <c r="H24" s="336" t="s">
        <v>1587</v>
      </c>
      <c r="I24" s="88" t="s">
        <v>57</v>
      </c>
      <c r="J24" s="376">
        <v>69893</v>
      </c>
      <c r="K24" s="326">
        <v>1184390</v>
      </c>
      <c r="L24" s="326">
        <v>0</v>
      </c>
      <c r="M24" s="31">
        <f>LOOKUP([1]CHILEINDICA!B8,[1]CHILEINDICA!B:B,[1]CHILEINDICA!AD:AD)</f>
        <v>0</v>
      </c>
      <c r="N24" s="31">
        <f>LOOKUP(D24,[1]CHILEINDICA!B:B,[1]CHILEINDICA!AE:AE)</f>
        <v>0</v>
      </c>
      <c r="O24" s="31">
        <f>LOOKUP(D24,[1]CHILEINDICA!B:B,[1]CHILEINDICA!AF:AF)</f>
        <v>0</v>
      </c>
      <c r="P24" s="31"/>
      <c r="Q24" s="31"/>
      <c r="R24" s="31"/>
      <c r="S24" s="92">
        <f t="shared" si="0"/>
        <v>0</v>
      </c>
      <c r="T24" s="32">
        <v>69893</v>
      </c>
      <c r="U24" s="318">
        <v>1</v>
      </c>
      <c r="V24" s="325">
        <v>44218</v>
      </c>
      <c r="W24" s="316">
        <v>44246</v>
      </c>
      <c r="X24" s="32"/>
      <c r="Y24" s="35"/>
      <c r="Z24" s="36"/>
      <c r="AA24" s="89"/>
      <c r="AB24" s="32"/>
      <c r="AC24" s="33"/>
      <c r="AD24" s="36"/>
      <c r="AE24" s="89"/>
      <c r="AF24" s="32"/>
      <c r="AG24" s="33"/>
      <c r="AH24" s="36"/>
      <c r="AI24" s="89"/>
      <c r="AJ24" s="32"/>
      <c r="AK24" s="33"/>
      <c r="AL24" s="36"/>
      <c r="AM24" s="89"/>
      <c r="AN24" s="324">
        <f t="shared" si="1"/>
        <v>69893</v>
      </c>
      <c r="AO24" s="323">
        <f>+AN24-S71</f>
        <v>69893</v>
      </c>
    </row>
    <row r="25" spans="2:41" s="26" customFormat="1" x14ac:dyDescent="0.2">
      <c r="B25" s="333">
        <v>10</v>
      </c>
      <c r="C25" s="354" t="s">
        <v>39</v>
      </c>
      <c r="D25" s="375">
        <v>30111289</v>
      </c>
      <c r="E25" s="374" t="s">
        <v>1588</v>
      </c>
      <c r="F25" s="373" t="s">
        <v>54</v>
      </c>
      <c r="G25" s="371" t="s">
        <v>1576</v>
      </c>
      <c r="H25" s="365" t="s">
        <v>62</v>
      </c>
      <c r="I25" s="88" t="s">
        <v>57</v>
      </c>
      <c r="J25" s="370">
        <v>89448</v>
      </c>
      <c r="K25" s="326">
        <v>2669895</v>
      </c>
      <c r="L25" s="326">
        <v>0</v>
      </c>
      <c r="M25" s="31">
        <f>LOOKUP([1]CHILEINDICA!B9,[1]CHILEINDICA!B:B,[1]CHILEINDICA!AD:AD)</f>
        <v>0</v>
      </c>
      <c r="N25" s="31">
        <v>0</v>
      </c>
      <c r="O25" s="31">
        <v>8949</v>
      </c>
      <c r="P25" s="31"/>
      <c r="Q25" s="31"/>
      <c r="R25" s="31"/>
      <c r="S25" s="92">
        <f t="shared" si="0"/>
        <v>8949</v>
      </c>
      <c r="T25" s="32">
        <v>89448</v>
      </c>
      <c r="U25" s="318">
        <v>1</v>
      </c>
      <c r="V25" s="325">
        <v>44218</v>
      </c>
      <c r="W25" s="316">
        <v>44246</v>
      </c>
      <c r="X25" s="32"/>
      <c r="Y25" s="35"/>
      <c r="Z25" s="36"/>
      <c r="AA25" s="89"/>
      <c r="AB25" s="32"/>
      <c r="AC25" s="33"/>
      <c r="AD25" s="36"/>
      <c r="AE25" s="89"/>
      <c r="AF25" s="32"/>
      <c r="AG25" s="33"/>
      <c r="AH25" s="36"/>
      <c r="AI25" s="89"/>
      <c r="AJ25" s="32"/>
      <c r="AK25" s="33"/>
      <c r="AL25" s="36"/>
      <c r="AM25" s="89"/>
      <c r="AN25" s="324">
        <f t="shared" si="1"/>
        <v>89448</v>
      </c>
      <c r="AO25" s="323">
        <f t="shared" ref="AO25:AO56" si="3">+AN25-S25</f>
        <v>80499</v>
      </c>
    </row>
    <row r="26" spans="2:41" s="26" customFormat="1" x14ac:dyDescent="0.2">
      <c r="B26" s="333">
        <v>11</v>
      </c>
      <c r="C26" s="343" t="s">
        <v>39</v>
      </c>
      <c r="D26" s="331">
        <v>30231576</v>
      </c>
      <c r="E26" s="328" t="s">
        <v>1589</v>
      </c>
      <c r="F26" s="342" t="s">
        <v>54</v>
      </c>
      <c r="G26" s="371" t="s">
        <v>1576</v>
      </c>
      <c r="H26" s="336" t="s">
        <v>1583</v>
      </c>
      <c r="I26" s="88" t="s">
        <v>57</v>
      </c>
      <c r="J26" s="366">
        <v>5590221</v>
      </c>
      <c r="K26" s="326">
        <v>1064197</v>
      </c>
      <c r="L26" s="326">
        <v>6638</v>
      </c>
      <c r="M26" s="31">
        <f>LOOKUP([1]CHILEINDICA!B10,[1]CHILEINDICA!B:B,[1]CHILEINDICA!AD:AD)</f>
        <v>0</v>
      </c>
      <c r="N26" s="31">
        <v>722552</v>
      </c>
      <c r="O26" s="31">
        <v>583565</v>
      </c>
      <c r="P26" s="31"/>
      <c r="Q26" s="31"/>
      <c r="R26" s="31"/>
      <c r="S26" s="92">
        <f t="shared" si="0"/>
        <v>1306117</v>
      </c>
      <c r="T26" s="32">
        <v>5590221</v>
      </c>
      <c r="U26" s="318">
        <v>1</v>
      </c>
      <c r="V26" s="325">
        <v>44218</v>
      </c>
      <c r="W26" s="316">
        <v>44246</v>
      </c>
      <c r="X26" s="32"/>
      <c r="Y26" s="35"/>
      <c r="Z26" s="36"/>
      <c r="AA26" s="89"/>
      <c r="AB26" s="32"/>
      <c r="AC26" s="33"/>
      <c r="AD26" s="36"/>
      <c r="AE26" s="89"/>
      <c r="AF26" s="32"/>
      <c r="AG26" s="33"/>
      <c r="AH26" s="36"/>
      <c r="AI26" s="89"/>
      <c r="AJ26" s="32"/>
      <c r="AK26" s="33"/>
      <c r="AL26" s="36"/>
      <c r="AM26" s="89"/>
      <c r="AN26" s="324">
        <f t="shared" si="1"/>
        <v>5590221</v>
      </c>
      <c r="AO26" s="323">
        <f t="shared" si="3"/>
        <v>4284104</v>
      </c>
    </row>
    <row r="27" spans="2:41" s="26" customFormat="1" x14ac:dyDescent="0.2">
      <c r="B27" s="333">
        <v>12</v>
      </c>
      <c r="C27" s="356" t="s">
        <v>39</v>
      </c>
      <c r="D27" s="331">
        <v>30271072</v>
      </c>
      <c r="E27" s="372" t="s">
        <v>1590</v>
      </c>
      <c r="F27" s="338" t="s">
        <v>54</v>
      </c>
      <c r="G27" s="371" t="s">
        <v>1576</v>
      </c>
      <c r="H27" s="328" t="s">
        <v>1577</v>
      </c>
      <c r="I27" s="88" t="s">
        <v>57</v>
      </c>
      <c r="J27" s="370">
        <f>3233824+32957+55982662</f>
        <v>59249443</v>
      </c>
      <c r="K27" s="326">
        <f>2037249+32957+31010812</f>
        <v>33081018</v>
      </c>
      <c r="L27" s="326">
        <v>0</v>
      </c>
      <c r="M27" s="31">
        <f>LOOKUP([1]CHILEINDICA!B11,[1]CHILEINDICA!B:B,[1]CHILEINDICA!AD:AD)</f>
        <v>0</v>
      </c>
      <c r="N27" s="31">
        <v>39844</v>
      </c>
      <c r="O27" s="31">
        <v>0</v>
      </c>
      <c r="P27" s="31"/>
      <c r="Q27" s="31"/>
      <c r="R27" s="31"/>
      <c r="S27" s="92">
        <f t="shared" si="0"/>
        <v>39844</v>
      </c>
      <c r="T27" s="32">
        <v>1380288</v>
      </c>
      <c r="U27" s="318">
        <v>1</v>
      </c>
      <c r="V27" s="325">
        <v>44218</v>
      </c>
      <c r="W27" s="316">
        <v>44246</v>
      </c>
      <c r="X27" s="32"/>
      <c r="Y27" s="35"/>
      <c r="Z27" s="36"/>
      <c r="AA27" s="89"/>
      <c r="AB27" s="32"/>
      <c r="AC27" s="33"/>
      <c r="AD27" s="36"/>
      <c r="AE27" s="89"/>
      <c r="AF27" s="32"/>
      <c r="AG27" s="33"/>
      <c r="AH27" s="36"/>
      <c r="AI27" s="89"/>
      <c r="AJ27" s="32"/>
      <c r="AK27" s="33"/>
      <c r="AL27" s="36"/>
      <c r="AM27" s="89"/>
      <c r="AN27" s="362">
        <f t="shared" si="1"/>
        <v>1380288</v>
      </c>
      <c r="AO27" s="323">
        <f t="shared" si="3"/>
        <v>1340444</v>
      </c>
    </row>
    <row r="28" spans="2:41" s="26" customFormat="1" x14ac:dyDescent="0.2">
      <c r="B28" s="333">
        <v>13</v>
      </c>
      <c r="C28" s="354" t="s">
        <v>39</v>
      </c>
      <c r="D28" s="339">
        <v>30314372</v>
      </c>
      <c r="E28" s="369" t="s">
        <v>1591</v>
      </c>
      <c r="F28" s="368" t="s">
        <v>54</v>
      </c>
      <c r="G28" s="353" t="s">
        <v>1576</v>
      </c>
      <c r="H28" s="336" t="s">
        <v>1587</v>
      </c>
      <c r="I28" s="367" t="s">
        <v>57</v>
      </c>
      <c r="J28" s="366">
        <v>1070171</v>
      </c>
      <c r="K28" s="326">
        <v>194510</v>
      </c>
      <c r="L28" s="326">
        <v>0</v>
      </c>
      <c r="M28" s="31">
        <f>LOOKUP([1]CHILEINDICA!B12,[1]CHILEINDICA!B:B,[1]CHILEINDICA!AD:AD)</f>
        <v>0</v>
      </c>
      <c r="N28" s="31">
        <v>0</v>
      </c>
      <c r="O28" s="31">
        <v>0</v>
      </c>
      <c r="P28" s="31"/>
      <c r="Q28" s="31"/>
      <c r="R28" s="31"/>
      <c r="S28" s="92">
        <f t="shared" si="0"/>
        <v>0</v>
      </c>
      <c r="T28" s="32">
        <v>821661</v>
      </c>
      <c r="U28" s="318">
        <v>1</v>
      </c>
      <c r="V28" s="325">
        <v>44218</v>
      </c>
      <c r="W28" s="316">
        <v>44246</v>
      </c>
      <c r="X28" s="32">
        <v>45020</v>
      </c>
      <c r="Y28" s="35">
        <v>11</v>
      </c>
      <c r="Z28" s="41">
        <v>44259</v>
      </c>
      <c r="AA28" s="89">
        <v>44277</v>
      </c>
      <c r="AB28" s="32"/>
      <c r="AC28" s="33"/>
      <c r="AD28" s="36"/>
      <c r="AE28" s="89"/>
      <c r="AF28" s="32"/>
      <c r="AG28" s="33"/>
      <c r="AH28" s="36"/>
      <c r="AI28" s="89"/>
      <c r="AJ28" s="32"/>
      <c r="AK28" s="33"/>
      <c r="AL28" s="36"/>
      <c r="AM28" s="89"/>
      <c r="AN28" s="324">
        <f t="shared" si="1"/>
        <v>866681</v>
      </c>
      <c r="AO28" s="323">
        <f t="shared" si="3"/>
        <v>866681</v>
      </c>
    </row>
    <row r="29" spans="2:41" s="26" customFormat="1" x14ac:dyDescent="0.2">
      <c r="B29" s="333">
        <v>14</v>
      </c>
      <c r="C29" s="343" t="s">
        <v>39</v>
      </c>
      <c r="D29" s="331">
        <v>30335122</v>
      </c>
      <c r="E29" s="328" t="s">
        <v>1592</v>
      </c>
      <c r="F29" s="330" t="s">
        <v>54</v>
      </c>
      <c r="G29" s="352" t="s">
        <v>1576</v>
      </c>
      <c r="H29" s="365" t="s">
        <v>1579</v>
      </c>
      <c r="I29" s="88" t="s">
        <v>57</v>
      </c>
      <c r="J29" s="341">
        <v>174080</v>
      </c>
      <c r="K29" s="326">
        <v>169735</v>
      </c>
      <c r="L29" s="326">
        <v>0</v>
      </c>
      <c r="M29" s="31">
        <f>LOOKUP([1]CHILEINDICA!B13,[1]CHILEINDICA!B:B,[1]CHILEINDICA!AD:AD)</f>
        <v>0</v>
      </c>
      <c r="N29" s="31">
        <v>4344</v>
      </c>
      <c r="O29" s="31">
        <v>0</v>
      </c>
      <c r="P29" s="31"/>
      <c r="Q29" s="31"/>
      <c r="R29" s="31"/>
      <c r="S29" s="92">
        <f t="shared" si="0"/>
        <v>4344</v>
      </c>
      <c r="T29" s="32">
        <v>4345</v>
      </c>
      <c r="U29" s="318">
        <v>1</v>
      </c>
      <c r="V29" s="325">
        <v>44218</v>
      </c>
      <c r="W29" s="316">
        <v>44246</v>
      </c>
      <c r="X29" s="32"/>
      <c r="Y29" s="35"/>
      <c r="Z29" s="36"/>
      <c r="AA29" s="89"/>
      <c r="AB29" s="32"/>
      <c r="AC29" s="33"/>
      <c r="AD29" s="36"/>
      <c r="AE29" s="89"/>
      <c r="AF29" s="32"/>
      <c r="AG29" s="33"/>
      <c r="AH29" s="36"/>
      <c r="AI29" s="89"/>
      <c r="AJ29" s="32"/>
      <c r="AK29" s="33"/>
      <c r="AL29" s="36"/>
      <c r="AM29" s="89"/>
      <c r="AN29" s="324">
        <f t="shared" si="1"/>
        <v>4345</v>
      </c>
      <c r="AO29" s="323">
        <f t="shared" si="3"/>
        <v>1</v>
      </c>
    </row>
    <row r="30" spans="2:41" s="26" customFormat="1" x14ac:dyDescent="0.2">
      <c r="B30" s="333">
        <v>15</v>
      </c>
      <c r="C30" s="343" t="s">
        <v>39</v>
      </c>
      <c r="D30" s="339">
        <v>30336023</v>
      </c>
      <c r="E30" s="336" t="s">
        <v>1593</v>
      </c>
      <c r="F30" s="338" t="s">
        <v>54</v>
      </c>
      <c r="G30" s="353" t="s">
        <v>1576</v>
      </c>
      <c r="H30" s="336" t="s">
        <v>1594</v>
      </c>
      <c r="I30" s="335" t="s">
        <v>57</v>
      </c>
      <c r="J30" s="340">
        <v>1011262</v>
      </c>
      <c r="K30" s="326">
        <v>975108</v>
      </c>
      <c r="L30" s="326">
        <v>0</v>
      </c>
      <c r="M30" s="31">
        <f>LOOKUP([1]CHILEINDICA!B14,[1]CHILEINDICA!B:B,[1]CHILEINDICA!AD:AD)</f>
        <v>0</v>
      </c>
      <c r="N30" s="31">
        <v>0</v>
      </c>
      <c r="O30" s="31">
        <v>0</v>
      </c>
      <c r="P30" s="31"/>
      <c r="Q30" s="31"/>
      <c r="R30" s="31"/>
      <c r="S30" s="92">
        <f t="shared" si="0"/>
        <v>0</v>
      </c>
      <c r="T30" s="32">
        <v>36154</v>
      </c>
      <c r="U30" s="318">
        <v>1</v>
      </c>
      <c r="V30" s="325">
        <v>44218</v>
      </c>
      <c r="W30" s="316">
        <v>44246</v>
      </c>
      <c r="X30" s="32"/>
      <c r="Y30" s="35"/>
      <c r="Z30" s="36"/>
      <c r="AA30" s="89"/>
      <c r="AB30" s="32"/>
      <c r="AC30" s="33"/>
      <c r="AD30" s="36"/>
      <c r="AE30" s="89"/>
      <c r="AF30" s="32"/>
      <c r="AG30" s="33"/>
      <c r="AH30" s="36"/>
      <c r="AI30" s="89"/>
      <c r="AJ30" s="32"/>
      <c r="AK30" s="33"/>
      <c r="AL30" s="36"/>
      <c r="AM30" s="89"/>
      <c r="AN30" s="324">
        <f t="shared" si="1"/>
        <v>36154</v>
      </c>
      <c r="AO30" s="323">
        <f t="shared" si="3"/>
        <v>36154</v>
      </c>
    </row>
    <row r="31" spans="2:41" s="26" customFormat="1" x14ac:dyDescent="0.2">
      <c r="B31" s="333">
        <v>16</v>
      </c>
      <c r="C31" s="343" t="s">
        <v>39</v>
      </c>
      <c r="D31" s="360">
        <v>30348584</v>
      </c>
      <c r="E31" s="359" t="s">
        <v>1595</v>
      </c>
      <c r="F31" s="330" t="s">
        <v>54</v>
      </c>
      <c r="G31" s="352" t="s">
        <v>1576</v>
      </c>
      <c r="H31" s="328" t="s">
        <v>1581</v>
      </c>
      <c r="I31" s="88" t="s">
        <v>57</v>
      </c>
      <c r="J31" s="327">
        <v>1937115</v>
      </c>
      <c r="K31" s="326">
        <v>1692270</v>
      </c>
      <c r="L31" s="326">
        <v>1001</v>
      </c>
      <c r="M31" s="31">
        <f>LOOKUP([1]CHILEINDICA!B15,[1]CHILEINDICA!B:B,[1]CHILEINDICA!AD:AD)</f>
        <v>0</v>
      </c>
      <c r="N31" s="31">
        <v>0</v>
      </c>
      <c r="O31" s="31">
        <v>0</v>
      </c>
      <c r="P31" s="31"/>
      <c r="Q31" s="31"/>
      <c r="R31" s="31"/>
      <c r="S31" s="92">
        <f t="shared" si="0"/>
        <v>0</v>
      </c>
      <c r="T31" s="32">
        <v>211591</v>
      </c>
      <c r="U31" s="318">
        <v>1</v>
      </c>
      <c r="V31" s="325">
        <v>44218</v>
      </c>
      <c r="W31" s="316">
        <v>44246</v>
      </c>
      <c r="X31" s="32"/>
      <c r="Y31" s="35"/>
      <c r="Z31" s="36"/>
      <c r="AA31" s="89"/>
      <c r="AB31" s="32"/>
      <c r="AC31" s="33"/>
      <c r="AD31" s="36"/>
      <c r="AE31" s="89"/>
      <c r="AF31" s="32"/>
      <c r="AG31" s="33"/>
      <c r="AH31" s="36"/>
      <c r="AI31" s="89"/>
      <c r="AJ31" s="32"/>
      <c r="AK31" s="33"/>
      <c r="AL31" s="36"/>
      <c r="AM31" s="89"/>
      <c r="AN31" s="324">
        <f t="shared" si="1"/>
        <v>211591</v>
      </c>
      <c r="AO31" s="323">
        <f t="shared" si="3"/>
        <v>211591</v>
      </c>
    </row>
    <row r="32" spans="2:41" s="26" customFormat="1" x14ac:dyDescent="0.2">
      <c r="B32" s="333">
        <v>17</v>
      </c>
      <c r="C32" s="343" t="s">
        <v>39</v>
      </c>
      <c r="D32" s="364">
        <v>30373723</v>
      </c>
      <c r="E32" s="363" t="s">
        <v>1596</v>
      </c>
      <c r="F32" s="338" t="s">
        <v>54</v>
      </c>
      <c r="G32" s="353" t="s">
        <v>1576</v>
      </c>
      <c r="H32" s="336" t="s">
        <v>1597</v>
      </c>
      <c r="I32" s="335" t="s">
        <v>57</v>
      </c>
      <c r="J32" s="334">
        <v>598646</v>
      </c>
      <c r="K32" s="326">
        <v>577835</v>
      </c>
      <c r="L32" s="326">
        <v>1</v>
      </c>
      <c r="M32" s="31">
        <f>LOOKUP([1]CHILEINDICA!B16,[1]CHILEINDICA!B:B,[1]CHILEINDICA!AD:AD)</f>
        <v>0</v>
      </c>
      <c r="N32" s="31">
        <v>0</v>
      </c>
      <c r="O32" s="31">
        <v>0</v>
      </c>
      <c r="P32" s="31"/>
      <c r="Q32" s="31"/>
      <c r="R32" s="31"/>
      <c r="S32" s="92">
        <f t="shared" si="0"/>
        <v>0</v>
      </c>
      <c r="T32" s="32">
        <v>20810</v>
      </c>
      <c r="U32" s="318">
        <v>1</v>
      </c>
      <c r="V32" s="325">
        <v>44218</v>
      </c>
      <c r="W32" s="316">
        <v>44246</v>
      </c>
      <c r="X32" s="32"/>
      <c r="Y32" s="35"/>
      <c r="Z32" s="36"/>
      <c r="AA32" s="89"/>
      <c r="AB32" s="32"/>
      <c r="AC32" s="33"/>
      <c r="AD32" s="36"/>
      <c r="AE32" s="89"/>
      <c r="AF32" s="32"/>
      <c r="AG32" s="33"/>
      <c r="AH32" s="36"/>
      <c r="AI32" s="89"/>
      <c r="AJ32" s="32"/>
      <c r="AK32" s="33"/>
      <c r="AL32" s="36"/>
      <c r="AM32" s="89"/>
      <c r="AN32" s="324">
        <f t="shared" si="1"/>
        <v>20810</v>
      </c>
      <c r="AO32" s="323">
        <f t="shared" si="3"/>
        <v>20810</v>
      </c>
    </row>
    <row r="33" spans="2:41" s="26" customFormat="1" x14ac:dyDescent="0.2">
      <c r="B33" s="333">
        <v>18</v>
      </c>
      <c r="C33" s="343" t="s">
        <v>39</v>
      </c>
      <c r="D33" s="331">
        <v>30378822</v>
      </c>
      <c r="E33" s="328" t="s">
        <v>1598</v>
      </c>
      <c r="F33" s="330" t="s">
        <v>54</v>
      </c>
      <c r="G33" s="352" t="s">
        <v>1576</v>
      </c>
      <c r="H33" s="328" t="s">
        <v>1577</v>
      </c>
      <c r="I33" s="88" t="s">
        <v>57</v>
      </c>
      <c r="J33" s="327">
        <v>709244</v>
      </c>
      <c r="K33" s="326">
        <v>641750</v>
      </c>
      <c r="L33" s="326">
        <v>0</v>
      </c>
      <c r="M33" s="31">
        <f>LOOKUP([1]CHILEINDICA!B17,[1]CHILEINDICA!B:B,[1]CHILEINDICA!AD:AD)</f>
        <v>0</v>
      </c>
      <c r="N33" s="31">
        <v>0</v>
      </c>
      <c r="O33" s="31">
        <v>897</v>
      </c>
      <c r="P33" s="31"/>
      <c r="Q33" s="31"/>
      <c r="R33" s="31"/>
      <c r="S33" s="92">
        <f t="shared" si="0"/>
        <v>897</v>
      </c>
      <c r="T33" s="32">
        <v>32485</v>
      </c>
      <c r="U33" s="318">
        <v>1</v>
      </c>
      <c r="V33" s="325">
        <v>44218</v>
      </c>
      <c r="W33" s="316">
        <v>44246</v>
      </c>
      <c r="X33" s="32"/>
      <c r="Y33" s="35"/>
      <c r="Z33" s="36"/>
      <c r="AA33" s="89"/>
      <c r="AB33" s="32"/>
      <c r="AC33" s="33"/>
      <c r="AD33" s="36"/>
      <c r="AE33" s="89"/>
      <c r="AF33" s="32"/>
      <c r="AG33" s="33"/>
      <c r="AH33" s="36"/>
      <c r="AI33" s="89"/>
      <c r="AJ33" s="32"/>
      <c r="AK33" s="33"/>
      <c r="AL33" s="36"/>
      <c r="AM33" s="89"/>
      <c r="AN33" s="324">
        <f t="shared" si="1"/>
        <v>32485</v>
      </c>
      <c r="AO33" s="323">
        <f t="shared" si="3"/>
        <v>31588</v>
      </c>
    </row>
    <row r="34" spans="2:41" s="26" customFormat="1" x14ac:dyDescent="0.2">
      <c r="B34" s="333">
        <v>19</v>
      </c>
      <c r="C34" s="343" t="s">
        <v>39</v>
      </c>
      <c r="D34" s="364">
        <v>30385677</v>
      </c>
      <c r="E34" s="363" t="s">
        <v>1599</v>
      </c>
      <c r="F34" s="338" t="s">
        <v>54</v>
      </c>
      <c r="G34" s="353" t="s">
        <v>1576</v>
      </c>
      <c r="H34" s="336" t="s">
        <v>1600</v>
      </c>
      <c r="I34" s="335" t="s">
        <v>57</v>
      </c>
      <c r="J34" s="334">
        <v>701454</v>
      </c>
      <c r="K34" s="326">
        <v>281818</v>
      </c>
      <c r="L34" s="326">
        <v>0</v>
      </c>
      <c r="M34" s="31">
        <f>LOOKUP([1]CHILEINDICA!B18,[1]CHILEINDICA!B:B,[1]CHILEINDICA!AD:AD)</f>
        <v>0</v>
      </c>
      <c r="N34" s="31">
        <v>108322</v>
      </c>
      <c r="O34" s="31">
        <v>23787</v>
      </c>
      <c r="P34" s="31"/>
      <c r="Q34" s="31"/>
      <c r="R34" s="31"/>
      <c r="S34" s="92">
        <f t="shared" si="0"/>
        <v>132109</v>
      </c>
      <c r="T34" s="32">
        <v>404041</v>
      </c>
      <c r="U34" s="318">
        <v>1</v>
      </c>
      <c r="V34" s="325">
        <v>44218</v>
      </c>
      <c r="W34" s="316">
        <v>44246</v>
      </c>
      <c r="X34" s="32">
        <v>15593</v>
      </c>
      <c r="Y34" s="33">
        <v>3</v>
      </c>
      <c r="Z34" s="41">
        <v>44229</v>
      </c>
      <c r="AA34" s="89">
        <v>44252</v>
      </c>
      <c r="AB34" s="32"/>
      <c r="AC34" s="33"/>
      <c r="AD34" s="36"/>
      <c r="AE34" s="89"/>
      <c r="AF34" s="32"/>
      <c r="AG34" s="33"/>
      <c r="AH34" s="36"/>
      <c r="AI34" s="89"/>
      <c r="AJ34" s="32"/>
      <c r="AK34" s="33"/>
      <c r="AL34" s="36"/>
      <c r="AM34" s="89"/>
      <c r="AN34" s="362">
        <f t="shared" si="1"/>
        <v>419634</v>
      </c>
      <c r="AO34" s="323">
        <f t="shared" si="3"/>
        <v>287525</v>
      </c>
    </row>
    <row r="35" spans="2:41" s="26" customFormat="1" x14ac:dyDescent="0.2">
      <c r="B35" s="333">
        <v>20</v>
      </c>
      <c r="C35" s="343" t="s">
        <v>39</v>
      </c>
      <c r="D35" s="331">
        <v>30393735</v>
      </c>
      <c r="E35" s="328" t="s">
        <v>1601</v>
      </c>
      <c r="F35" s="330" t="s">
        <v>54</v>
      </c>
      <c r="G35" s="352" t="s">
        <v>1576</v>
      </c>
      <c r="H35" s="328" t="s">
        <v>1587</v>
      </c>
      <c r="I35" s="88" t="s">
        <v>57</v>
      </c>
      <c r="J35" s="327">
        <v>5852197</v>
      </c>
      <c r="K35" s="326">
        <v>5237605</v>
      </c>
      <c r="L35" s="326">
        <v>2903</v>
      </c>
      <c r="M35" s="31">
        <f>LOOKUP([1]CHILEINDICA!B19,[1]CHILEINDICA!B:B,[1]CHILEINDICA!AD:AD)</f>
        <v>0</v>
      </c>
      <c r="N35" s="31">
        <v>2125</v>
      </c>
      <c r="O35" s="31">
        <v>4251</v>
      </c>
      <c r="P35" s="31"/>
      <c r="Q35" s="31"/>
      <c r="R35" s="31"/>
      <c r="S35" s="92">
        <f t="shared" si="0"/>
        <v>6376</v>
      </c>
      <c r="T35" s="32">
        <v>105541</v>
      </c>
      <c r="U35" s="318">
        <v>1</v>
      </c>
      <c r="V35" s="325">
        <v>44218</v>
      </c>
      <c r="W35" s="316">
        <v>44246</v>
      </c>
      <c r="X35" s="32"/>
      <c r="Y35" s="35"/>
      <c r="Z35" s="36"/>
      <c r="AA35" s="89"/>
      <c r="AB35" s="32"/>
      <c r="AC35" s="33"/>
      <c r="AD35" s="36"/>
      <c r="AE35" s="89"/>
      <c r="AF35" s="32"/>
      <c r="AG35" s="33"/>
      <c r="AH35" s="36"/>
      <c r="AI35" s="89"/>
      <c r="AJ35" s="32"/>
      <c r="AK35" s="33"/>
      <c r="AL35" s="36"/>
      <c r="AM35" s="89"/>
      <c r="AN35" s="324">
        <f t="shared" si="1"/>
        <v>105541</v>
      </c>
      <c r="AO35" s="323">
        <f t="shared" si="3"/>
        <v>99165</v>
      </c>
    </row>
    <row r="36" spans="2:41" s="26" customFormat="1" x14ac:dyDescent="0.2">
      <c r="B36" s="333">
        <v>21</v>
      </c>
      <c r="C36" s="343" t="s">
        <v>39</v>
      </c>
      <c r="D36" s="350">
        <v>30418427</v>
      </c>
      <c r="E36" s="349" t="s">
        <v>1602</v>
      </c>
      <c r="F36" s="344" t="s">
        <v>60</v>
      </c>
      <c r="G36" s="353" t="s">
        <v>1576</v>
      </c>
      <c r="H36" s="361" t="s">
        <v>62</v>
      </c>
      <c r="I36" s="335" t="s">
        <v>72</v>
      </c>
      <c r="J36" s="348">
        <f>18356+9392+3226547</f>
        <v>3254295</v>
      </c>
      <c r="K36" s="326">
        <v>3067</v>
      </c>
      <c r="L36" s="326">
        <f>12732+6325+2662398</f>
        <v>2681455</v>
      </c>
      <c r="M36" s="31">
        <f>LOOKUP([1]CHILEINDICA!B20,[1]CHILEINDICA!B:B,[1]CHILEINDICA!AD:AD)</f>
        <v>0</v>
      </c>
      <c r="N36" s="31">
        <v>0</v>
      </c>
      <c r="O36" s="31">
        <v>0</v>
      </c>
      <c r="P36" s="31"/>
      <c r="Q36" s="31"/>
      <c r="R36" s="31"/>
      <c r="S36" s="92">
        <f t="shared" si="0"/>
        <v>0</v>
      </c>
      <c r="T36" s="32">
        <v>569773</v>
      </c>
      <c r="U36" s="318">
        <v>1</v>
      </c>
      <c r="V36" s="325">
        <v>44218</v>
      </c>
      <c r="W36" s="316">
        <v>44246</v>
      </c>
      <c r="X36" s="32"/>
      <c r="Y36" s="35"/>
      <c r="Z36" s="36"/>
      <c r="AA36" s="89"/>
      <c r="AB36" s="32"/>
      <c r="AC36" s="33"/>
      <c r="AD36" s="36"/>
      <c r="AE36" s="89"/>
      <c r="AF36" s="32"/>
      <c r="AG36" s="33"/>
      <c r="AH36" s="36"/>
      <c r="AI36" s="89"/>
      <c r="AJ36" s="32"/>
      <c r="AK36" s="33"/>
      <c r="AL36" s="36"/>
      <c r="AM36" s="89"/>
      <c r="AN36" s="324">
        <f t="shared" si="1"/>
        <v>569773</v>
      </c>
      <c r="AO36" s="323">
        <f t="shared" si="3"/>
        <v>569773</v>
      </c>
    </row>
    <row r="37" spans="2:41" s="26" customFormat="1" x14ac:dyDescent="0.2">
      <c r="B37" s="333">
        <v>22</v>
      </c>
      <c r="C37" s="343" t="s">
        <v>39</v>
      </c>
      <c r="D37" s="331">
        <v>30436139</v>
      </c>
      <c r="E37" s="328" t="s">
        <v>1603</v>
      </c>
      <c r="F37" s="330" t="s">
        <v>60</v>
      </c>
      <c r="G37" s="352" t="s">
        <v>1576</v>
      </c>
      <c r="H37" s="328" t="s">
        <v>1587</v>
      </c>
      <c r="I37" s="88" t="s">
        <v>57</v>
      </c>
      <c r="J37" s="327">
        <v>95409</v>
      </c>
      <c r="K37" s="326">
        <v>86409</v>
      </c>
      <c r="L37" s="326">
        <v>0</v>
      </c>
      <c r="M37" s="31">
        <f>LOOKUP([1]CHILEINDICA!B21,[1]CHILEINDICA!B:B,[1]CHILEINDICA!AD:AD)</f>
        <v>0</v>
      </c>
      <c r="N37" s="31">
        <v>0</v>
      </c>
      <c r="O37" s="31">
        <v>0</v>
      </c>
      <c r="P37" s="31"/>
      <c r="Q37" s="31"/>
      <c r="R37" s="31"/>
      <c r="S37" s="92">
        <f t="shared" si="0"/>
        <v>0</v>
      </c>
      <c r="T37" s="32">
        <v>8800</v>
      </c>
      <c r="U37" s="318">
        <v>1</v>
      </c>
      <c r="V37" s="325">
        <v>44218</v>
      </c>
      <c r="W37" s="316">
        <v>44246</v>
      </c>
      <c r="X37" s="32"/>
      <c r="Y37" s="35"/>
      <c r="Z37" s="36"/>
      <c r="AA37" s="89"/>
      <c r="AB37" s="32"/>
      <c r="AC37" s="33"/>
      <c r="AD37" s="36"/>
      <c r="AE37" s="89"/>
      <c r="AF37" s="32"/>
      <c r="AG37" s="33"/>
      <c r="AH37" s="36"/>
      <c r="AI37" s="89"/>
      <c r="AJ37" s="32"/>
      <c r="AK37" s="33"/>
      <c r="AL37" s="36"/>
      <c r="AM37" s="89"/>
      <c r="AN37" s="324">
        <f t="shared" si="1"/>
        <v>8800</v>
      </c>
      <c r="AO37" s="323">
        <f t="shared" si="3"/>
        <v>8800</v>
      </c>
    </row>
    <row r="38" spans="2:41" s="26" customFormat="1" x14ac:dyDescent="0.2">
      <c r="B38" s="333">
        <v>23</v>
      </c>
      <c r="C38" s="343" t="s">
        <v>39</v>
      </c>
      <c r="D38" s="339">
        <v>30453228</v>
      </c>
      <c r="E38" s="336" t="s">
        <v>1604</v>
      </c>
      <c r="F38" s="338" t="s">
        <v>60</v>
      </c>
      <c r="G38" s="353" t="s">
        <v>1576</v>
      </c>
      <c r="H38" s="336" t="s">
        <v>1581</v>
      </c>
      <c r="I38" s="335" t="s">
        <v>57</v>
      </c>
      <c r="J38" s="334">
        <v>132995</v>
      </c>
      <c r="K38" s="326">
        <v>100884</v>
      </c>
      <c r="L38" s="326">
        <v>0</v>
      </c>
      <c r="M38" s="31">
        <f>LOOKUP([1]CHILEINDICA!B22,[1]CHILEINDICA!B:B,[1]CHILEINDICA!AD:AD)</f>
        <v>0</v>
      </c>
      <c r="N38" s="31">
        <v>0</v>
      </c>
      <c r="O38" s="31">
        <v>0</v>
      </c>
      <c r="P38" s="31"/>
      <c r="Q38" s="31"/>
      <c r="R38" s="31"/>
      <c r="S38" s="92">
        <f t="shared" si="0"/>
        <v>0</v>
      </c>
      <c r="T38" s="32">
        <v>16875</v>
      </c>
      <c r="U38" s="318">
        <v>1</v>
      </c>
      <c r="V38" s="325">
        <v>44218</v>
      </c>
      <c r="W38" s="316">
        <v>44246</v>
      </c>
      <c r="X38" s="32"/>
      <c r="Y38" s="35"/>
      <c r="Z38" s="36"/>
      <c r="AA38" s="89"/>
      <c r="AB38" s="32"/>
      <c r="AC38" s="33"/>
      <c r="AD38" s="36"/>
      <c r="AE38" s="89"/>
      <c r="AF38" s="32"/>
      <c r="AG38" s="33"/>
      <c r="AH38" s="36"/>
      <c r="AI38" s="89"/>
      <c r="AJ38" s="32"/>
      <c r="AK38" s="33"/>
      <c r="AL38" s="36"/>
      <c r="AM38" s="89"/>
      <c r="AN38" s="324">
        <f t="shared" si="1"/>
        <v>16875</v>
      </c>
      <c r="AO38" s="323">
        <f t="shared" si="3"/>
        <v>16875</v>
      </c>
    </row>
    <row r="39" spans="2:41" s="26" customFormat="1" x14ac:dyDescent="0.2">
      <c r="B39" s="333">
        <v>24</v>
      </c>
      <c r="C39" s="343" t="s">
        <v>39</v>
      </c>
      <c r="D39" s="360">
        <v>30458727</v>
      </c>
      <c r="E39" s="359" t="s">
        <v>1605</v>
      </c>
      <c r="F39" s="330" t="s">
        <v>60</v>
      </c>
      <c r="G39" s="352" t="s">
        <v>1576</v>
      </c>
      <c r="H39" s="328" t="s">
        <v>602</v>
      </c>
      <c r="I39" s="88" t="s">
        <v>57</v>
      </c>
      <c r="J39" s="327">
        <v>29115</v>
      </c>
      <c r="K39" s="326">
        <v>17357</v>
      </c>
      <c r="L39" s="326">
        <v>0</v>
      </c>
      <c r="M39" s="31">
        <f>LOOKUP([1]CHILEINDICA!B23,[1]CHILEINDICA!B:B,[1]CHILEINDICA!AD:AD)</f>
        <v>0</v>
      </c>
      <c r="N39" s="31">
        <v>0</v>
      </c>
      <c r="O39" s="31">
        <v>0</v>
      </c>
      <c r="P39" s="31"/>
      <c r="Q39" s="31"/>
      <c r="R39" s="31"/>
      <c r="S39" s="92">
        <f t="shared" si="0"/>
        <v>0</v>
      </c>
      <c r="T39" s="32">
        <v>7091</v>
      </c>
      <c r="U39" s="318">
        <v>1</v>
      </c>
      <c r="V39" s="325">
        <v>44218</v>
      </c>
      <c r="W39" s="316">
        <v>44246</v>
      </c>
      <c r="X39" s="32"/>
      <c r="Y39" s="35"/>
      <c r="Z39" s="36"/>
      <c r="AA39" s="89"/>
      <c r="AB39" s="32"/>
      <c r="AC39" s="33"/>
      <c r="AD39" s="36"/>
      <c r="AE39" s="89"/>
      <c r="AF39" s="32"/>
      <c r="AG39" s="33"/>
      <c r="AH39" s="36"/>
      <c r="AI39" s="89"/>
      <c r="AJ39" s="32"/>
      <c r="AK39" s="33"/>
      <c r="AL39" s="36"/>
      <c r="AM39" s="89"/>
      <c r="AN39" s="324">
        <f t="shared" si="1"/>
        <v>7091</v>
      </c>
      <c r="AO39" s="323">
        <f t="shared" si="3"/>
        <v>7091</v>
      </c>
    </row>
    <row r="40" spans="2:41" s="26" customFormat="1" x14ac:dyDescent="0.2">
      <c r="B40" s="333">
        <v>25</v>
      </c>
      <c r="C40" s="343" t="s">
        <v>39</v>
      </c>
      <c r="D40" s="339">
        <v>30459191</v>
      </c>
      <c r="E40" s="336" t="s">
        <v>1606</v>
      </c>
      <c r="F40" s="344" t="s">
        <v>54</v>
      </c>
      <c r="G40" s="353" t="s">
        <v>1576</v>
      </c>
      <c r="H40" s="336" t="s">
        <v>1597</v>
      </c>
      <c r="I40" s="335" t="s">
        <v>57</v>
      </c>
      <c r="J40" s="334">
        <v>217845</v>
      </c>
      <c r="K40" s="326">
        <v>71499</v>
      </c>
      <c r="L40" s="326">
        <v>0</v>
      </c>
      <c r="M40" s="31">
        <f>LOOKUP([1]CHILEINDICA!B24,[1]CHILEINDICA!B:B,[1]CHILEINDICA!AD:AD)</f>
        <v>0</v>
      </c>
      <c r="N40" s="31">
        <v>20681</v>
      </c>
      <c r="O40" s="31">
        <v>45669</v>
      </c>
      <c r="P40" s="31"/>
      <c r="Q40" s="31"/>
      <c r="R40" s="31"/>
      <c r="S40" s="92">
        <f t="shared" si="0"/>
        <v>66350</v>
      </c>
      <c r="T40" s="32">
        <v>144864</v>
      </c>
      <c r="U40" s="318">
        <v>1</v>
      </c>
      <c r="V40" s="325">
        <v>44218</v>
      </c>
      <c r="W40" s="316">
        <v>44246</v>
      </c>
      <c r="X40" s="32"/>
      <c r="Y40" s="35"/>
      <c r="Z40" s="36"/>
      <c r="AA40" s="89"/>
      <c r="AB40" s="32"/>
      <c r="AC40" s="33"/>
      <c r="AD40" s="36"/>
      <c r="AE40" s="89"/>
      <c r="AF40" s="32"/>
      <c r="AG40" s="33"/>
      <c r="AH40" s="36"/>
      <c r="AI40" s="89"/>
      <c r="AJ40" s="32"/>
      <c r="AK40" s="33"/>
      <c r="AL40" s="36"/>
      <c r="AM40" s="89"/>
      <c r="AN40" s="324">
        <f t="shared" si="1"/>
        <v>144864</v>
      </c>
      <c r="AO40" s="323">
        <f t="shared" si="3"/>
        <v>78514</v>
      </c>
    </row>
    <row r="41" spans="2:41" s="26" customFormat="1" x14ac:dyDescent="0.2">
      <c r="B41" s="333">
        <v>26</v>
      </c>
      <c r="C41" s="343" t="s">
        <v>39</v>
      </c>
      <c r="D41" s="331">
        <v>30459765</v>
      </c>
      <c r="E41" s="328" t="s">
        <v>1607</v>
      </c>
      <c r="F41" s="330" t="s">
        <v>54</v>
      </c>
      <c r="G41" s="352" t="s">
        <v>1576</v>
      </c>
      <c r="H41" s="328" t="s">
        <v>1581</v>
      </c>
      <c r="I41" s="88" t="s">
        <v>57</v>
      </c>
      <c r="J41" s="327">
        <v>2311954</v>
      </c>
      <c r="K41" s="326">
        <v>33273</v>
      </c>
      <c r="L41" s="326">
        <v>0</v>
      </c>
      <c r="M41" s="31">
        <f>LOOKUP([1]CHILEINDICA!B25,[1]CHILEINDICA!B:B,[1]CHILEINDICA!AD:AD)</f>
        <v>0</v>
      </c>
      <c r="N41" s="31">
        <v>0</v>
      </c>
      <c r="O41" s="31">
        <v>0</v>
      </c>
      <c r="P41" s="31"/>
      <c r="Q41" s="31"/>
      <c r="R41" s="31"/>
      <c r="S41" s="92">
        <f t="shared" si="0"/>
        <v>0</v>
      </c>
      <c r="T41" s="32">
        <v>2053288</v>
      </c>
      <c r="U41" s="318">
        <v>1</v>
      </c>
      <c r="V41" s="325">
        <v>44218</v>
      </c>
      <c r="W41" s="316">
        <v>44246</v>
      </c>
      <c r="X41" s="32"/>
      <c r="Y41" s="35"/>
      <c r="Z41" s="36"/>
      <c r="AA41" s="89"/>
      <c r="AB41" s="32"/>
      <c r="AC41" s="33"/>
      <c r="AD41" s="36"/>
      <c r="AE41" s="89"/>
      <c r="AF41" s="32"/>
      <c r="AG41" s="33"/>
      <c r="AH41" s="36"/>
      <c r="AI41" s="89"/>
      <c r="AJ41" s="32"/>
      <c r="AK41" s="33"/>
      <c r="AL41" s="36"/>
      <c r="AM41" s="89"/>
      <c r="AN41" s="324">
        <f t="shared" si="1"/>
        <v>2053288</v>
      </c>
      <c r="AO41" s="323">
        <f t="shared" si="3"/>
        <v>2053288</v>
      </c>
    </row>
    <row r="42" spans="2:41" s="26" customFormat="1" x14ac:dyDescent="0.2">
      <c r="B42" s="333">
        <v>27</v>
      </c>
      <c r="C42" s="343" t="s">
        <v>39</v>
      </c>
      <c r="D42" s="339">
        <v>30464223</v>
      </c>
      <c r="E42" s="336" t="s">
        <v>1608</v>
      </c>
      <c r="F42" s="338" t="s">
        <v>54</v>
      </c>
      <c r="G42" s="353" t="s">
        <v>1576</v>
      </c>
      <c r="H42" s="336" t="s">
        <v>1583</v>
      </c>
      <c r="I42" s="335" t="s">
        <v>57</v>
      </c>
      <c r="J42" s="340">
        <v>702323</v>
      </c>
      <c r="K42" s="326">
        <v>12195</v>
      </c>
      <c r="L42" s="326">
        <v>0</v>
      </c>
      <c r="M42" s="31">
        <f>LOOKUP([1]CHILEINDICA!B26,[1]CHILEINDICA!B:B,[1]CHILEINDICA!AD:AD)</f>
        <v>0</v>
      </c>
      <c r="N42" s="31">
        <v>0</v>
      </c>
      <c r="O42" s="31">
        <v>0</v>
      </c>
      <c r="P42" s="31"/>
      <c r="Q42" s="31"/>
      <c r="R42" s="31"/>
      <c r="S42" s="92">
        <f t="shared" si="0"/>
        <v>0</v>
      </c>
      <c r="T42" s="32">
        <v>607659</v>
      </c>
      <c r="U42" s="318">
        <v>1</v>
      </c>
      <c r="V42" s="325">
        <v>44218</v>
      </c>
      <c r="W42" s="316">
        <v>44246</v>
      </c>
      <c r="X42" s="32"/>
      <c r="Y42" s="35"/>
      <c r="Z42" s="36"/>
      <c r="AA42" s="89"/>
      <c r="AB42" s="32"/>
      <c r="AC42" s="33"/>
      <c r="AD42" s="36"/>
      <c r="AE42" s="89"/>
      <c r="AF42" s="32"/>
      <c r="AG42" s="33"/>
      <c r="AH42" s="36"/>
      <c r="AI42" s="89"/>
      <c r="AJ42" s="32"/>
      <c r="AK42" s="33"/>
      <c r="AL42" s="36"/>
      <c r="AM42" s="89"/>
      <c r="AN42" s="324">
        <f t="shared" si="1"/>
        <v>607659</v>
      </c>
      <c r="AO42" s="323">
        <f t="shared" si="3"/>
        <v>607659</v>
      </c>
    </row>
    <row r="43" spans="2:41" s="26" customFormat="1" x14ac:dyDescent="0.2">
      <c r="B43" s="333">
        <v>28</v>
      </c>
      <c r="C43" s="343" t="s">
        <v>39</v>
      </c>
      <c r="D43" s="331">
        <v>30471034</v>
      </c>
      <c r="E43" s="358" t="s">
        <v>1609</v>
      </c>
      <c r="F43" s="342" t="s">
        <v>54</v>
      </c>
      <c r="G43" s="352" t="s">
        <v>1576</v>
      </c>
      <c r="H43" s="328" t="s">
        <v>1581</v>
      </c>
      <c r="I43" s="88" t="s">
        <v>72</v>
      </c>
      <c r="J43" s="327">
        <v>597637</v>
      </c>
      <c r="K43" s="326">
        <v>5244</v>
      </c>
      <c r="L43" s="326">
        <v>0</v>
      </c>
      <c r="M43" s="31">
        <f>LOOKUP([1]CHILEINDICA!B27,[1]CHILEINDICA!B:B,[1]CHILEINDICA!AD:AD)</f>
        <v>0</v>
      </c>
      <c r="N43" s="31">
        <v>0</v>
      </c>
      <c r="O43" s="31">
        <v>0</v>
      </c>
      <c r="P43" s="31"/>
      <c r="Q43" s="31"/>
      <c r="R43" s="31"/>
      <c r="S43" s="92">
        <f t="shared" si="0"/>
        <v>0</v>
      </c>
      <c r="T43" s="32">
        <v>564676</v>
      </c>
      <c r="U43" s="318">
        <v>1</v>
      </c>
      <c r="V43" s="325">
        <v>44218</v>
      </c>
      <c r="W43" s="316">
        <v>44246</v>
      </c>
      <c r="X43" s="32"/>
      <c r="Y43" s="35"/>
      <c r="Z43" s="36"/>
      <c r="AA43" s="89"/>
      <c r="AB43" s="32"/>
      <c r="AC43" s="33"/>
      <c r="AD43" s="36"/>
      <c r="AE43" s="89"/>
      <c r="AF43" s="32"/>
      <c r="AG43" s="33"/>
      <c r="AH43" s="36"/>
      <c r="AI43" s="89"/>
      <c r="AJ43" s="32"/>
      <c r="AK43" s="33"/>
      <c r="AL43" s="36"/>
      <c r="AM43" s="89"/>
      <c r="AN43" s="324">
        <f t="shared" si="1"/>
        <v>564676</v>
      </c>
      <c r="AO43" s="323">
        <f t="shared" si="3"/>
        <v>564676</v>
      </c>
    </row>
    <row r="44" spans="2:41" s="26" customFormat="1" x14ac:dyDescent="0.2">
      <c r="B44" s="333">
        <v>29</v>
      </c>
      <c r="C44" s="343" t="s">
        <v>39</v>
      </c>
      <c r="D44" s="339">
        <v>30473024</v>
      </c>
      <c r="E44" s="336" t="s">
        <v>1610</v>
      </c>
      <c r="F44" s="338" t="s">
        <v>54</v>
      </c>
      <c r="G44" s="353" t="s">
        <v>1576</v>
      </c>
      <c r="H44" s="336" t="s">
        <v>1597</v>
      </c>
      <c r="I44" s="335" t="s">
        <v>57</v>
      </c>
      <c r="J44" s="340">
        <v>216689</v>
      </c>
      <c r="K44" s="326">
        <v>210563</v>
      </c>
      <c r="L44" s="326">
        <v>0</v>
      </c>
      <c r="M44" s="31">
        <f>LOOKUP([1]CHILEINDICA!B28,[1]CHILEINDICA!B:B,[1]CHILEINDICA!AD:AD)</f>
        <v>0</v>
      </c>
      <c r="N44" s="31">
        <v>0</v>
      </c>
      <c r="O44" s="31">
        <v>0</v>
      </c>
      <c r="P44" s="31"/>
      <c r="Q44" s="31"/>
      <c r="R44" s="31"/>
      <c r="S44" s="92">
        <f t="shared" si="0"/>
        <v>0</v>
      </c>
      <c r="T44" s="32">
        <v>6126</v>
      </c>
      <c r="U44" s="318">
        <v>1</v>
      </c>
      <c r="V44" s="325">
        <v>44218</v>
      </c>
      <c r="W44" s="316">
        <v>44246</v>
      </c>
      <c r="X44" s="32"/>
      <c r="Y44" s="35"/>
      <c r="Z44" s="36"/>
      <c r="AA44" s="89"/>
      <c r="AB44" s="32"/>
      <c r="AC44" s="33"/>
      <c r="AD44" s="36"/>
      <c r="AE44" s="89"/>
      <c r="AF44" s="32"/>
      <c r="AG44" s="33"/>
      <c r="AH44" s="36"/>
      <c r="AI44" s="89"/>
      <c r="AJ44" s="32"/>
      <c r="AK44" s="33"/>
      <c r="AL44" s="36"/>
      <c r="AM44" s="89"/>
      <c r="AN44" s="324">
        <f t="shared" si="1"/>
        <v>6126</v>
      </c>
      <c r="AO44" s="323">
        <f t="shared" si="3"/>
        <v>6126</v>
      </c>
    </row>
    <row r="45" spans="2:41" s="26" customFormat="1" x14ac:dyDescent="0.2">
      <c r="B45" s="333">
        <v>30</v>
      </c>
      <c r="C45" s="343" t="s">
        <v>39</v>
      </c>
      <c r="D45" s="331">
        <v>30473025</v>
      </c>
      <c r="E45" s="328" t="s">
        <v>1611</v>
      </c>
      <c r="F45" s="330" t="s">
        <v>54</v>
      </c>
      <c r="G45" s="352" t="s">
        <v>1576</v>
      </c>
      <c r="H45" s="328" t="s">
        <v>1597</v>
      </c>
      <c r="I45" s="88" t="s">
        <v>57</v>
      </c>
      <c r="J45" s="341">
        <v>236182</v>
      </c>
      <c r="K45" s="326">
        <v>230057</v>
      </c>
      <c r="L45" s="326">
        <v>2</v>
      </c>
      <c r="M45" s="31">
        <f>LOOKUP([1]CHILEINDICA!B29,[1]CHILEINDICA!B:B,[1]CHILEINDICA!AD:AD)</f>
        <v>0</v>
      </c>
      <c r="N45" s="31">
        <v>0</v>
      </c>
      <c r="O45" s="31">
        <v>0</v>
      </c>
      <c r="P45" s="31"/>
      <c r="Q45" s="31"/>
      <c r="R45" s="31"/>
      <c r="S45" s="92">
        <f t="shared" si="0"/>
        <v>0</v>
      </c>
      <c r="T45" s="32">
        <v>6123</v>
      </c>
      <c r="U45" s="318">
        <v>1</v>
      </c>
      <c r="V45" s="325">
        <v>44218</v>
      </c>
      <c r="W45" s="316">
        <v>44246</v>
      </c>
      <c r="X45" s="32"/>
      <c r="Y45" s="35"/>
      <c r="Z45" s="36"/>
      <c r="AA45" s="89"/>
      <c r="AB45" s="32"/>
      <c r="AC45" s="33"/>
      <c r="AD45" s="36"/>
      <c r="AE45" s="89"/>
      <c r="AF45" s="32"/>
      <c r="AG45" s="33"/>
      <c r="AH45" s="36"/>
      <c r="AI45" s="89"/>
      <c r="AJ45" s="32"/>
      <c r="AK45" s="33"/>
      <c r="AL45" s="36"/>
      <c r="AM45" s="89"/>
      <c r="AN45" s="324">
        <f t="shared" si="1"/>
        <v>6123</v>
      </c>
      <c r="AO45" s="323">
        <f t="shared" si="3"/>
        <v>6123</v>
      </c>
    </row>
    <row r="46" spans="2:41" s="26" customFormat="1" x14ac:dyDescent="0.2">
      <c r="B46" s="333">
        <v>31</v>
      </c>
      <c r="C46" s="343" t="s">
        <v>39</v>
      </c>
      <c r="D46" s="339">
        <v>30474635</v>
      </c>
      <c r="E46" s="336" t="s">
        <v>1612</v>
      </c>
      <c r="F46" s="344" t="s">
        <v>60</v>
      </c>
      <c r="G46" s="353" t="s">
        <v>1576</v>
      </c>
      <c r="H46" s="336" t="s">
        <v>1581</v>
      </c>
      <c r="I46" s="335" t="s">
        <v>72</v>
      </c>
      <c r="J46" s="334">
        <v>463920</v>
      </c>
      <c r="K46" s="326">
        <v>1324</v>
      </c>
      <c r="L46" s="326">
        <v>0</v>
      </c>
      <c r="M46" s="31">
        <f>LOOKUP([1]CHILEINDICA!B30,[1]CHILEINDICA!B:B,[1]CHILEINDICA!AD:AD)</f>
        <v>0</v>
      </c>
      <c r="N46" s="31">
        <v>0</v>
      </c>
      <c r="O46" s="31">
        <v>20000</v>
      </c>
      <c r="P46" s="31"/>
      <c r="Q46" s="31"/>
      <c r="R46" s="31"/>
      <c r="S46" s="92">
        <f t="shared" si="0"/>
        <v>20000</v>
      </c>
      <c r="T46" s="32">
        <v>80000</v>
      </c>
      <c r="U46" s="318">
        <v>1</v>
      </c>
      <c r="V46" s="325">
        <v>44218</v>
      </c>
      <c r="W46" s="316">
        <v>44246</v>
      </c>
      <c r="X46" s="32"/>
      <c r="Y46" s="35"/>
      <c r="Z46" s="36"/>
      <c r="AA46" s="89"/>
      <c r="AB46" s="32"/>
      <c r="AC46" s="33"/>
      <c r="AD46" s="36"/>
      <c r="AE46" s="89"/>
      <c r="AF46" s="32"/>
      <c r="AG46" s="33"/>
      <c r="AH46" s="36"/>
      <c r="AI46" s="89"/>
      <c r="AJ46" s="32"/>
      <c r="AK46" s="33"/>
      <c r="AL46" s="36"/>
      <c r="AM46" s="89"/>
      <c r="AN46" s="324">
        <f t="shared" si="1"/>
        <v>80000</v>
      </c>
      <c r="AO46" s="323">
        <f t="shared" si="3"/>
        <v>60000</v>
      </c>
    </row>
    <row r="47" spans="2:41" s="26" customFormat="1" x14ac:dyDescent="0.2">
      <c r="B47" s="333">
        <v>32</v>
      </c>
      <c r="C47" s="343" t="s">
        <v>39</v>
      </c>
      <c r="D47" s="331">
        <v>30486557</v>
      </c>
      <c r="E47" s="358" t="s">
        <v>1613</v>
      </c>
      <c r="F47" s="342" t="s">
        <v>54</v>
      </c>
      <c r="G47" s="352" t="s">
        <v>1576</v>
      </c>
      <c r="H47" s="328" t="s">
        <v>1587</v>
      </c>
      <c r="I47" s="88" t="s">
        <v>57</v>
      </c>
      <c r="J47" s="327">
        <v>739831</v>
      </c>
      <c r="K47" s="326">
        <v>642046</v>
      </c>
      <c r="L47" s="326">
        <v>0</v>
      </c>
      <c r="M47" s="31">
        <f>LOOKUP([1]CHILEINDICA!B31,[1]CHILEINDICA!B:B,[1]CHILEINDICA!AD:AD)</f>
        <v>0</v>
      </c>
      <c r="N47" s="31">
        <v>0</v>
      </c>
      <c r="O47" s="31">
        <v>0</v>
      </c>
      <c r="P47" s="31"/>
      <c r="Q47" s="31"/>
      <c r="R47" s="31"/>
      <c r="S47" s="92">
        <f t="shared" si="0"/>
        <v>0</v>
      </c>
      <c r="T47" s="32">
        <v>18279</v>
      </c>
      <c r="U47" s="318">
        <v>1</v>
      </c>
      <c r="V47" s="325">
        <v>44218</v>
      </c>
      <c r="W47" s="316">
        <v>44246</v>
      </c>
      <c r="X47" s="32"/>
      <c r="Y47" s="35"/>
      <c r="Z47" s="36"/>
      <c r="AA47" s="89"/>
      <c r="AB47" s="32"/>
      <c r="AC47" s="33"/>
      <c r="AD47" s="36"/>
      <c r="AE47" s="89"/>
      <c r="AF47" s="32"/>
      <c r="AG47" s="33"/>
      <c r="AH47" s="36"/>
      <c r="AI47" s="89"/>
      <c r="AJ47" s="32"/>
      <c r="AK47" s="33"/>
      <c r="AL47" s="36"/>
      <c r="AM47" s="89"/>
      <c r="AN47" s="324">
        <f t="shared" si="1"/>
        <v>18279</v>
      </c>
      <c r="AO47" s="323">
        <f t="shared" si="3"/>
        <v>18279</v>
      </c>
    </row>
    <row r="48" spans="2:41" s="26" customFormat="1" x14ac:dyDescent="0.2">
      <c r="B48" s="333">
        <v>33</v>
      </c>
      <c r="C48" s="343" t="s">
        <v>39</v>
      </c>
      <c r="D48" s="339">
        <v>30486617</v>
      </c>
      <c r="E48" s="336" t="s">
        <v>1614</v>
      </c>
      <c r="F48" s="344" t="s">
        <v>54</v>
      </c>
      <c r="G48" s="353" t="s">
        <v>1576</v>
      </c>
      <c r="H48" s="336" t="s">
        <v>1581</v>
      </c>
      <c r="I48" s="335" t="s">
        <v>72</v>
      </c>
      <c r="J48" s="334">
        <v>775480</v>
      </c>
      <c r="K48" s="326">
        <v>5661</v>
      </c>
      <c r="L48" s="326">
        <v>76159</v>
      </c>
      <c r="M48" s="31">
        <f>LOOKUP([1]CHILEINDICA!B32,[1]CHILEINDICA!B:B,[1]CHILEINDICA!AD:AD)</f>
        <v>0</v>
      </c>
      <c r="N48" s="31">
        <v>0</v>
      </c>
      <c r="O48" s="31">
        <v>0</v>
      </c>
      <c r="P48" s="31"/>
      <c r="Q48" s="31"/>
      <c r="R48" s="31"/>
      <c r="S48" s="92">
        <f t="shared" ref="S48:S79" si="4">SUM(M48:R48)</f>
        <v>0</v>
      </c>
      <c r="T48" s="32">
        <v>692922</v>
      </c>
      <c r="U48" s="318">
        <v>1</v>
      </c>
      <c r="V48" s="325">
        <v>44218</v>
      </c>
      <c r="W48" s="316">
        <v>44246</v>
      </c>
      <c r="X48" s="32"/>
      <c r="Y48" s="35"/>
      <c r="Z48" s="36"/>
      <c r="AA48" s="89"/>
      <c r="AB48" s="32"/>
      <c r="AC48" s="33"/>
      <c r="AD48" s="36"/>
      <c r="AE48" s="89"/>
      <c r="AF48" s="32"/>
      <c r="AG48" s="33"/>
      <c r="AH48" s="36"/>
      <c r="AI48" s="89"/>
      <c r="AJ48" s="32"/>
      <c r="AK48" s="33"/>
      <c r="AL48" s="36"/>
      <c r="AM48" s="89"/>
      <c r="AN48" s="324">
        <f t="shared" ref="AN48:AN73" si="5">+T48+X48+AB48+AF48+AJ48</f>
        <v>692922</v>
      </c>
      <c r="AO48" s="323">
        <f t="shared" si="3"/>
        <v>692922</v>
      </c>
    </row>
    <row r="49" spans="2:41" s="26" customFormat="1" x14ac:dyDescent="0.2">
      <c r="B49" s="333">
        <v>34</v>
      </c>
      <c r="C49" s="343" t="s">
        <v>39</v>
      </c>
      <c r="D49" s="331">
        <v>40000471</v>
      </c>
      <c r="E49" s="328" t="s">
        <v>1615</v>
      </c>
      <c r="F49" s="330" t="s">
        <v>54</v>
      </c>
      <c r="G49" s="352" t="s">
        <v>1576</v>
      </c>
      <c r="H49" s="328" t="s">
        <v>1587</v>
      </c>
      <c r="I49" s="88" t="s">
        <v>72</v>
      </c>
      <c r="J49" s="341">
        <v>423385</v>
      </c>
      <c r="K49" s="326">
        <v>0</v>
      </c>
      <c r="L49" s="326">
        <v>0</v>
      </c>
      <c r="M49" s="31">
        <f>LOOKUP([1]CHILEINDICA!B33,[1]CHILEINDICA!B:B,[1]CHILEINDICA!AD:AD)</f>
        <v>0</v>
      </c>
      <c r="N49" s="31">
        <v>0</v>
      </c>
      <c r="O49" s="31">
        <v>0</v>
      </c>
      <c r="P49" s="31"/>
      <c r="Q49" s="31"/>
      <c r="R49" s="31"/>
      <c r="S49" s="92">
        <f t="shared" si="4"/>
        <v>0</v>
      </c>
      <c r="T49" s="32">
        <v>403578</v>
      </c>
      <c r="U49" s="318">
        <v>1</v>
      </c>
      <c r="V49" s="325">
        <v>44218</v>
      </c>
      <c r="W49" s="316">
        <v>44246</v>
      </c>
      <c r="X49" s="32"/>
      <c r="Y49" s="35"/>
      <c r="Z49" s="36"/>
      <c r="AA49" s="89"/>
      <c r="AB49" s="32"/>
      <c r="AC49" s="33"/>
      <c r="AD49" s="36"/>
      <c r="AE49" s="89"/>
      <c r="AF49" s="32"/>
      <c r="AG49" s="33"/>
      <c r="AH49" s="36"/>
      <c r="AI49" s="89"/>
      <c r="AJ49" s="32"/>
      <c r="AK49" s="33"/>
      <c r="AL49" s="36"/>
      <c r="AM49" s="89"/>
      <c r="AN49" s="324">
        <f t="shared" si="5"/>
        <v>403578</v>
      </c>
      <c r="AO49" s="323">
        <f t="shared" si="3"/>
        <v>403578</v>
      </c>
    </row>
    <row r="50" spans="2:41" s="26" customFormat="1" x14ac:dyDescent="0.2">
      <c r="B50" s="333">
        <v>35</v>
      </c>
      <c r="C50" s="357" t="s">
        <v>39</v>
      </c>
      <c r="D50" s="339">
        <v>40000771</v>
      </c>
      <c r="E50" s="336" t="s">
        <v>1616</v>
      </c>
      <c r="F50" s="344" t="s">
        <v>54</v>
      </c>
      <c r="G50" s="353" t="s">
        <v>1576</v>
      </c>
      <c r="H50" s="336" t="s">
        <v>1587</v>
      </c>
      <c r="I50" s="335" t="s">
        <v>72</v>
      </c>
      <c r="J50" s="340">
        <v>149573</v>
      </c>
      <c r="K50" s="326">
        <v>0</v>
      </c>
      <c r="L50" s="326">
        <v>18550</v>
      </c>
      <c r="M50" s="31">
        <f>LOOKUP([1]CHILEINDICA!B34,[1]CHILEINDICA!B:B,[1]CHILEINDICA!AD:AD)</f>
        <v>0</v>
      </c>
      <c r="N50" s="31">
        <v>0</v>
      </c>
      <c r="O50" s="31">
        <v>0</v>
      </c>
      <c r="P50" s="31"/>
      <c r="Q50" s="31"/>
      <c r="R50" s="31"/>
      <c r="S50" s="92">
        <f t="shared" si="4"/>
        <v>0</v>
      </c>
      <c r="T50" s="32">
        <v>131023</v>
      </c>
      <c r="U50" s="318">
        <v>1</v>
      </c>
      <c r="V50" s="325">
        <v>44218</v>
      </c>
      <c r="W50" s="316">
        <v>44246</v>
      </c>
      <c r="X50" s="32"/>
      <c r="Y50" s="35"/>
      <c r="Z50" s="36"/>
      <c r="AA50" s="89"/>
      <c r="AB50" s="32"/>
      <c r="AC50" s="33"/>
      <c r="AD50" s="36"/>
      <c r="AE50" s="89"/>
      <c r="AF50" s="32"/>
      <c r="AG50" s="33"/>
      <c r="AH50" s="36"/>
      <c r="AI50" s="89"/>
      <c r="AJ50" s="32"/>
      <c r="AK50" s="33"/>
      <c r="AL50" s="36"/>
      <c r="AM50" s="89"/>
      <c r="AN50" s="324">
        <f t="shared" si="5"/>
        <v>131023</v>
      </c>
      <c r="AO50" s="323">
        <f t="shared" si="3"/>
        <v>131023</v>
      </c>
    </row>
    <row r="51" spans="2:41" s="26" customFormat="1" x14ac:dyDescent="0.2">
      <c r="B51" s="333">
        <v>36</v>
      </c>
      <c r="C51" s="356" t="s">
        <v>39</v>
      </c>
      <c r="D51" s="347">
        <v>40001061</v>
      </c>
      <c r="E51" s="346" t="s">
        <v>1617</v>
      </c>
      <c r="F51" s="342" t="s">
        <v>1618</v>
      </c>
      <c r="G51" s="352" t="s">
        <v>1576</v>
      </c>
      <c r="H51" s="355" t="s">
        <v>1594</v>
      </c>
      <c r="I51" s="88" t="s">
        <v>72</v>
      </c>
      <c r="J51" s="345">
        <v>881379</v>
      </c>
      <c r="K51" s="326">
        <v>0</v>
      </c>
      <c r="L51" s="326">
        <v>19318</v>
      </c>
      <c r="M51" s="31">
        <f>LOOKUP([1]CHILEINDICA!B35,[1]CHILEINDICA!B:B,[1]CHILEINDICA!AD:AD)</f>
        <v>0</v>
      </c>
      <c r="N51" s="31">
        <v>0</v>
      </c>
      <c r="O51" s="31">
        <v>0</v>
      </c>
      <c r="P51" s="31"/>
      <c r="Q51" s="31"/>
      <c r="R51" s="31"/>
      <c r="S51" s="92">
        <f t="shared" si="4"/>
        <v>0</v>
      </c>
      <c r="T51" s="32">
        <v>858672</v>
      </c>
      <c r="U51" s="318">
        <v>1</v>
      </c>
      <c r="V51" s="325">
        <v>44218</v>
      </c>
      <c r="W51" s="316">
        <v>44246</v>
      </c>
      <c r="X51" s="32"/>
      <c r="Y51" s="35"/>
      <c r="Z51" s="36"/>
      <c r="AA51" s="89"/>
      <c r="AB51" s="32"/>
      <c r="AC51" s="33"/>
      <c r="AD51" s="36"/>
      <c r="AE51" s="89"/>
      <c r="AF51" s="32"/>
      <c r="AG51" s="33"/>
      <c r="AH51" s="36"/>
      <c r="AI51" s="89"/>
      <c r="AJ51" s="32"/>
      <c r="AK51" s="33"/>
      <c r="AL51" s="36"/>
      <c r="AM51" s="89"/>
      <c r="AN51" s="324">
        <f t="shared" si="5"/>
        <v>858672</v>
      </c>
      <c r="AO51" s="323">
        <f t="shared" si="3"/>
        <v>858672</v>
      </c>
    </row>
    <row r="52" spans="2:41" s="26" customFormat="1" x14ac:dyDescent="0.2">
      <c r="B52" s="333">
        <v>37</v>
      </c>
      <c r="C52" s="354" t="s">
        <v>39</v>
      </c>
      <c r="D52" s="339">
        <v>40006757</v>
      </c>
      <c r="E52" s="336" t="s">
        <v>1619</v>
      </c>
      <c r="F52" s="338" t="s">
        <v>60</v>
      </c>
      <c r="G52" s="353" t="s">
        <v>1576</v>
      </c>
      <c r="H52" s="336" t="s">
        <v>1600</v>
      </c>
      <c r="I52" s="335" t="s">
        <v>72</v>
      </c>
      <c r="J52" s="340">
        <v>188388</v>
      </c>
      <c r="K52" s="326">
        <v>0</v>
      </c>
      <c r="L52" s="326">
        <v>2</v>
      </c>
      <c r="M52" s="31">
        <f>LOOKUP([1]CHILEINDICA!B36,[1]CHILEINDICA!B:B,[1]CHILEINDICA!AD:AD)</f>
        <v>0</v>
      </c>
      <c r="N52" s="31">
        <v>0</v>
      </c>
      <c r="O52" s="31">
        <v>0</v>
      </c>
      <c r="P52" s="31"/>
      <c r="Q52" s="31"/>
      <c r="R52" s="31"/>
      <c r="S52" s="92">
        <f t="shared" si="4"/>
        <v>0</v>
      </c>
      <c r="T52" s="32">
        <v>177904</v>
      </c>
      <c r="U52" s="318">
        <v>1</v>
      </c>
      <c r="V52" s="325">
        <v>44218</v>
      </c>
      <c r="W52" s="316">
        <v>44246</v>
      </c>
      <c r="X52" s="32"/>
      <c r="Y52" s="35"/>
      <c r="Z52" s="36"/>
      <c r="AA52" s="89"/>
      <c r="AB52" s="32"/>
      <c r="AC52" s="33"/>
      <c r="AD52" s="36"/>
      <c r="AE52" s="89"/>
      <c r="AF52" s="32"/>
      <c r="AG52" s="33"/>
      <c r="AH52" s="36"/>
      <c r="AI52" s="89"/>
      <c r="AJ52" s="32"/>
      <c r="AK52" s="33"/>
      <c r="AL52" s="36"/>
      <c r="AM52" s="89"/>
      <c r="AN52" s="324">
        <f t="shared" si="5"/>
        <v>177904</v>
      </c>
      <c r="AO52" s="323">
        <f t="shared" si="3"/>
        <v>177904</v>
      </c>
    </row>
    <row r="53" spans="2:41" s="26" customFormat="1" x14ac:dyDescent="0.2">
      <c r="B53" s="333">
        <v>38</v>
      </c>
      <c r="C53" s="343" t="s">
        <v>39</v>
      </c>
      <c r="D53" s="331">
        <v>40009556</v>
      </c>
      <c r="E53" s="328" t="s">
        <v>1620</v>
      </c>
      <c r="F53" s="342" t="s">
        <v>1618</v>
      </c>
      <c r="G53" s="352" t="s">
        <v>1576</v>
      </c>
      <c r="H53" s="328" t="s">
        <v>602</v>
      </c>
      <c r="I53" s="88" t="s">
        <v>72</v>
      </c>
      <c r="J53" s="327">
        <v>148332</v>
      </c>
      <c r="K53" s="326">
        <v>0</v>
      </c>
      <c r="L53" s="326">
        <v>1</v>
      </c>
      <c r="M53" s="31">
        <f>LOOKUP([1]CHILEINDICA!B37,[1]CHILEINDICA!B:B,[1]CHILEINDICA!AD:AD)</f>
        <v>0</v>
      </c>
      <c r="N53" s="31">
        <v>0</v>
      </c>
      <c r="O53" s="31">
        <v>0</v>
      </c>
      <c r="P53" s="31"/>
      <c r="Q53" s="31"/>
      <c r="R53" s="31"/>
      <c r="S53" s="92">
        <f t="shared" si="4"/>
        <v>0</v>
      </c>
      <c r="T53" s="32">
        <v>141393</v>
      </c>
      <c r="U53" s="318">
        <v>1</v>
      </c>
      <c r="V53" s="325">
        <v>44218</v>
      </c>
      <c r="W53" s="316">
        <v>44246</v>
      </c>
      <c r="X53" s="32"/>
      <c r="Y53" s="35"/>
      <c r="Z53" s="36"/>
      <c r="AA53" s="89"/>
      <c r="AB53" s="32"/>
      <c r="AC53" s="33"/>
      <c r="AD53" s="36"/>
      <c r="AE53" s="89"/>
      <c r="AF53" s="32"/>
      <c r="AG53" s="33"/>
      <c r="AH53" s="36"/>
      <c r="AI53" s="89"/>
      <c r="AJ53" s="32"/>
      <c r="AK53" s="33"/>
      <c r="AL53" s="36"/>
      <c r="AM53" s="89"/>
      <c r="AN53" s="324">
        <f t="shared" si="5"/>
        <v>141393</v>
      </c>
      <c r="AO53" s="323">
        <f t="shared" si="3"/>
        <v>141393</v>
      </c>
    </row>
    <row r="54" spans="2:41" s="26" customFormat="1" x14ac:dyDescent="0.2">
      <c r="B54" s="333">
        <v>39</v>
      </c>
      <c r="C54" s="343" t="s">
        <v>39</v>
      </c>
      <c r="D54" s="339">
        <v>40010007</v>
      </c>
      <c r="E54" s="336" t="s">
        <v>1621</v>
      </c>
      <c r="F54" s="344" t="s">
        <v>54</v>
      </c>
      <c r="G54" s="353" t="s">
        <v>1576</v>
      </c>
      <c r="H54" s="336" t="s">
        <v>1597</v>
      </c>
      <c r="I54" s="335" t="s">
        <v>57</v>
      </c>
      <c r="J54" s="334">
        <v>10552681</v>
      </c>
      <c r="K54" s="326">
        <v>3278484</v>
      </c>
      <c r="L54" s="326">
        <v>1</v>
      </c>
      <c r="M54" s="31">
        <f>LOOKUP([1]CHILEINDICA!B38,[1]CHILEINDICA!B:B,[1]CHILEINDICA!AD:AD)</f>
        <v>0</v>
      </c>
      <c r="N54" s="31">
        <v>1253010</v>
      </c>
      <c r="O54" s="31">
        <v>1143762</v>
      </c>
      <c r="P54" s="31"/>
      <c r="Q54" s="31"/>
      <c r="R54" s="31"/>
      <c r="S54" s="92">
        <f t="shared" si="4"/>
        <v>2396772</v>
      </c>
      <c r="T54" s="32">
        <v>6841384</v>
      </c>
      <c r="U54" s="318">
        <v>1</v>
      </c>
      <c r="V54" s="325">
        <v>44218</v>
      </c>
      <c r="W54" s="316">
        <v>44246</v>
      </c>
      <c r="X54" s="32"/>
      <c r="Y54" s="35"/>
      <c r="Z54" s="36"/>
      <c r="AA54" s="89"/>
      <c r="AB54" s="32"/>
      <c r="AC54" s="33"/>
      <c r="AD54" s="36"/>
      <c r="AE54" s="89"/>
      <c r="AF54" s="32"/>
      <c r="AG54" s="33"/>
      <c r="AH54" s="36"/>
      <c r="AI54" s="89"/>
      <c r="AJ54" s="32"/>
      <c r="AK54" s="33"/>
      <c r="AL54" s="36"/>
      <c r="AM54" s="89"/>
      <c r="AN54" s="324">
        <f t="shared" si="5"/>
        <v>6841384</v>
      </c>
      <c r="AO54" s="323">
        <f t="shared" si="3"/>
        <v>4444612</v>
      </c>
    </row>
    <row r="55" spans="2:41" s="26" customFormat="1" x14ac:dyDescent="0.2">
      <c r="B55" s="333">
        <v>40</v>
      </c>
      <c r="C55" s="343" t="s">
        <v>39</v>
      </c>
      <c r="D55" s="331">
        <v>40011384</v>
      </c>
      <c r="E55" s="328" t="s">
        <v>1622</v>
      </c>
      <c r="F55" s="330" t="s">
        <v>54</v>
      </c>
      <c r="G55" s="352" t="s">
        <v>1576</v>
      </c>
      <c r="H55" s="328" t="s">
        <v>1581</v>
      </c>
      <c r="I55" s="88" t="s">
        <v>72</v>
      </c>
      <c r="J55" s="341">
        <v>224219</v>
      </c>
      <c r="K55" s="326">
        <v>745</v>
      </c>
      <c r="L55" s="326">
        <v>0</v>
      </c>
      <c r="M55" s="31">
        <f>LOOKUP([1]CHILEINDICA!B39,[1]CHILEINDICA!B:B,[1]CHILEINDICA!AD:AD)</f>
        <v>0</v>
      </c>
      <c r="N55" s="31">
        <v>37982</v>
      </c>
      <c r="O55" s="31">
        <v>0</v>
      </c>
      <c r="P55" s="31"/>
      <c r="Q55" s="31"/>
      <c r="R55" s="31"/>
      <c r="S55" s="92">
        <f t="shared" si="4"/>
        <v>37982</v>
      </c>
      <c r="T55" s="32">
        <v>189911</v>
      </c>
      <c r="U55" s="318">
        <v>1</v>
      </c>
      <c r="V55" s="325">
        <v>44218</v>
      </c>
      <c r="W55" s="316">
        <v>44246</v>
      </c>
      <c r="X55" s="32"/>
      <c r="Y55" s="35"/>
      <c r="Z55" s="36"/>
      <c r="AA55" s="89"/>
      <c r="AB55" s="32"/>
      <c r="AC55" s="33"/>
      <c r="AD55" s="36"/>
      <c r="AE55" s="89"/>
      <c r="AF55" s="32"/>
      <c r="AG55" s="33"/>
      <c r="AH55" s="36"/>
      <c r="AI55" s="89"/>
      <c r="AJ55" s="32"/>
      <c r="AK55" s="33"/>
      <c r="AL55" s="36"/>
      <c r="AM55" s="89"/>
      <c r="AN55" s="324">
        <f t="shared" si="5"/>
        <v>189911</v>
      </c>
      <c r="AO55" s="323">
        <f t="shared" si="3"/>
        <v>151929</v>
      </c>
    </row>
    <row r="56" spans="2:41" s="26" customFormat="1" x14ac:dyDescent="0.2">
      <c r="B56" s="333">
        <v>41</v>
      </c>
      <c r="C56" s="332" t="s">
        <v>39</v>
      </c>
      <c r="D56" s="339">
        <v>40012071</v>
      </c>
      <c r="E56" s="336" t="s">
        <v>1623</v>
      </c>
      <c r="F56" s="338" t="s">
        <v>1618</v>
      </c>
      <c r="G56" s="337" t="s">
        <v>1576</v>
      </c>
      <c r="H56" s="336" t="s">
        <v>1587</v>
      </c>
      <c r="I56" s="335" t="s">
        <v>72</v>
      </c>
      <c r="J56" s="340">
        <v>513860</v>
      </c>
      <c r="K56" s="326">
        <v>0</v>
      </c>
      <c r="L56" s="326">
        <v>0</v>
      </c>
      <c r="M56" s="31">
        <f>LOOKUP([1]CHILEINDICA!B40,[1]CHILEINDICA!B:B,[1]CHILEINDICA!AD:AD)</f>
        <v>0</v>
      </c>
      <c r="N56" s="31">
        <v>0</v>
      </c>
      <c r="O56" s="31">
        <v>0</v>
      </c>
      <c r="P56" s="31"/>
      <c r="Q56" s="31"/>
      <c r="R56" s="31"/>
      <c r="S56" s="92">
        <f t="shared" si="4"/>
        <v>0</v>
      </c>
      <c r="T56" s="32">
        <v>502554</v>
      </c>
      <c r="U56" s="318">
        <v>1</v>
      </c>
      <c r="V56" s="325">
        <v>44218</v>
      </c>
      <c r="W56" s="316">
        <v>44246</v>
      </c>
      <c r="X56" s="32"/>
      <c r="Y56" s="35"/>
      <c r="Z56" s="36"/>
      <c r="AA56" s="89"/>
      <c r="AB56" s="32"/>
      <c r="AC56" s="33"/>
      <c r="AD56" s="36"/>
      <c r="AE56" s="89"/>
      <c r="AF56" s="32"/>
      <c r="AG56" s="33"/>
      <c r="AH56" s="36"/>
      <c r="AI56" s="89"/>
      <c r="AJ56" s="32"/>
      <c r="AK56" s="33"/>
      <c r="AL56" s="36"/>
      <c r="AM56" s="89"/>
      <c r="AN56" s="324">
        <f t="shared" si="5"/>
        <v>502554</v>
      </c>
      <c r="AO56" s="323">
        <f t="shared" si="3"/>
        <v>502554</v>
      </c>
    </row>
    <row r="57" spans="2:41" s="26" customFormat="1" x14ac:dyDescent="0.2">
      <c r="B57" s="333">
        <v>42</v>
      </c>
      <c r="C57" s="332" t="s">
        <v>39</v>
      </c>
      <c r="D57" s="331">
        <v>40012594</v>
      </c>
      <c r="E57" s="328" t="s">
        <v>1624</v>
      </c>
      <c r="F57" s="342" t="s">
        <v>54</v>
      </c>
      <c r="G57" s="329" t="s">
        <v>1576</v>
      </c>
      <c r="H57" s="328" t="s">
        <v>1597</v>
      </c>
      <c r="I57" s="88" t="s">
        <v>72</v>
      </c>
      <c r="J57" s="327">
        <v>17218250</v>
      </c>
      <c r="K57" s="326">
        <v>15337</v>
      </c>
      <c r="L57" s="326">
        <v>11867693</v>
      </c>
      <c r="M57" s="31">
        <f>LOOKUP([1]CHILEINDICA!B41,[1]CHILEINDICA!B:B,[1]CHILEINDICA!AD:AD)</f>
        <v>0</v>
      </c>
      <c r="N57" s="31">
        <v>0</v>
      </c>
      <c r="O57" s="31">
        <v>15220</v>
      </c>
      <c r="P57" s="31"/>
      <c r="Q57" s="31"/>
      <c r="R57" s="31"/>
      <c r="S57" s="92">
        <f t="shared" si="4"/>
        <v>15220</v>
      </c>
      <c r="T57" s="32">
        <v>615220</v>
      </c>
      <c r="U57" s="318">
        <v>1</v>
      </c>
      <c r="V57" s="325">
        <v>44218</v>
      </c>
      <c r="W57" s="316">
        <v>44246</v>
      </c>
      <c r="X57" s="32"/>
      <c r="Y57" s="35"/>
      <c r="Z57" s="36"/>
      <c r="AA57" s="89"/>
      <c r="AB57" s="32"/>
      <c r="AC57" s="33"/>
      <c r="AD57" s="36"/>
      <c r="AE57" s="89"/>
      <c r="AF57" s="32"/>
      <c r="AG57" s="33"/>
      <c r="AH57" s="36"/>
      <c r="AI57" s="89"/>
      <c r="AJ57" s="32"/>
      <c r="AK57" s="33"/>
      <c r="AL57" s="36"/>
      <c r="AM57" s="89"/>
      <c r="AN57" s="324">
        <f t="shared" si="5"/>
        <v>615220</v>
      </c>
      <c r="AO57" s="323">
        <f t="shared" ref="AO57:AO73" si="6">+AN57-S57</f>
        <v>600000</v>
      </c>
    </row>
    <row r="58" spans="2:41" s="26" customFormat="1" x14ac:dyDescent="0.2">
      <c r="B58" s="333">
        <v>43</v>
      </c>
      <c r="C58" s="332" t="s">
        <v>39</v>
      </c>
      <c r="D58" s="339">
        <v>40015402</v>
      </c>
      <c r="E58" s="336" t="s">
        <v>1625</v>
      </c>
      <c r="F58" s="344" t="s">
        <v>54</v>
      </c>
      <c r="G58" s="337" t="s">
        <v>1576</v>
      </c>
      <c r="H58" s="336" t="s">
        <v>1581</v>
      </c>
      <c r="I58" s="335" t="s">
        <v>57</v>
      </c>
      <c r="J58" s="334">
        <v>639642</v>
      </c>
      <c r="K58" s="326">
        <v>313642</v>
      </c>
      <c r="L58" s="326">
        <v>0</v>
      </c>
      <c r="M58" s="31">
        <f>LOOKUP([1]CHILEINDICA!B42,[1]CHILEINDICA!B:B,[1]CHILEINDICA!AD:AD)</f>
        <v>0</v>
      </c>
      <c r="N58" s="31">
        <v>0</v>
      </c>
      <c r="O58" s="31">
        <v>78594</v>
      </c>
      <c r="P58" s="31"/>
      <c r="Q58" s="31"/>
      <c r="R58" s="31"/>
      <c r="S58" s="92">
        <f t="shared" si="4"/>
        <v>78594</v>
      </c>
      <c r="T58" s="32">
        <v>325900</v>
      </c>
      <c r="U58" s="318">
        <v>1</v>
      </c>
      <c r="V58" s="325">
        <v>44218</v>
      </c>
      <c r="W58" s="316">
        <v>44246</v>
      </c>
      <c r="X58" s="32"/>
      <c r="Y58" s="35"/>
      <c r="Z58" s="36"/>
      <c r="AA58" s="89"/>
      <c r="AB58" s="32"/>
      <c r="AC58" s="33"/>
      <c r="AD58" s="36"/>
      <c r="AE58" s="89"/>
      <c r="AF58" s="32"/>
      <c r="AG58" s="33"/>
      <c r="AH58" s="36"/>
      <c r="AI58" s="89"/>
      <c r="AJ58" s="32"/>
      <c r="AK58" s="33"/>
      <c r="AL58" s="36"/>
      <c r="AM58" s="89"/>
      <c r="AN58" s="324">
        <f t="shared" si="5"/>
        <v>325900</v>
      </c>
      <c r="AO58" s="323">
        <f t="shared" si="6"/>
        <v>247306</v>
      </c>
    </row>
    <row r="59" spans="2:41" s="26" customFormat="1" x14ac:dyDescent="0.2">
      <c r="B59" s="333">
        <v>44</v>
      </c>
      <c r="C59" s="332" t="s">
        <v>39</v>
      </c>
      <c r="D59" s="331">
        <v>40015449</v>
      </c>
      <c r="E59" s="328" t="s">
        <v>1626</v>
      </c>
      <c r="F59" s="330" t="s">
        <v>54</v>
      </c>
      <c r="G59" s="329" t="s">
        <v>1576</v>
      </c>
      <c r="H59" s="328" t="s">
        <v>1577</v>
      </c>
      <c r="I59" s="88" t="s">
        <v>72</v>
      </c>
      <c r="J59" s="341">
        <v>330810</v>
      </c>
      <c r="K59" s="326">
        <v>0</v>
      </c>
      <c r="L59" s="326">
        <v>0</v>
      </c>
      <c r="M59" s="31">
        <f>LOOKUP([1]CHILEINDICA!B43,[1]CHILEINDICA!B:B,[1]CHILEINDICA!AD:AD)</f>
        <v>0</v>
      </c>
      <c r="N59" s="31">
        <v>0</v>
      </c>
      <c r="O59" s="31">
        <v>0</v>
      </c>
      <c r="P59" s="31"/>
      <c r="Q59" s="31"/>
      <c r="R59" s="31"/>
      <c r="S59" s="92">
        <f t="shared" si="4"/>
        <v>0</v>
      </c>
      <c r="T59" s="32">
        <v>2</v>
      </c>
      <c r="U59" s="318">
        <v>1</v>
      </c>
      <c r="V59" s="325">
        <v>44218</v>
      </c>
      <c r="W59" s="316">
        <v>44246</v>
      </c>
      <c r="X59" s="32"/>
      <c r="Y59" s="35"/>
      <c r="Z59" s="36"/>
      <c r="AA59" s="89"/>
      <c r="AB59" s="32"/>
      <c r="AC59" s="33"/>
      <c r="AD59" s="36"/>
      <c r="AE59" s="89"/>
      <c r="AF59" s="32"/>
      <c r="AG59" s="33"/>
      <c r="AH59" s="36"/>
      <c r="AI59" s="89"/>
      <c r="AJ59" s="32"/>
      <c r="AK59" s="33"/>
      <c r="AL59" s="36"/>
      <c r="AM59" s="89"/>
      <c r="AN59" s="324">
        <f t="shared" si="5"/>
        <v>2</v>
      </c>
      <c r="AO59" s="323">
        <f t="shared" si="6"/>
        <v>2</v>
      </c>
    </row>
    <row r="60" spans="2:41" s="26" customFormat="1" x14ac:dyDescent="0.2">
      <c r="B60" s="333">
        <v>45</v>
      </c>
      <c r="C60" s="332" t="s">
        <v>39</v>
      </c>
      <c r="D60" s="350">
        <v>40021623</v>
      </c>
      <c r="E60" s="349" t="s">
        <v>1627</v>
      </c>
      <c r="F60" s="344" t="s">
        <v>54</v>
      </c>
      <c r="G60" s="337" t="s">
        <v>1576</v>
      </c>
      <c r="H60" s="351" t="s">
        <v>1587</v>
      </c>
      <c r="I60" s="335" t="s">
        <v>72</v>
      </c>
      <c r="J60" s="348">
        <v>318304</v>
      </c>
      <c r="K60" s="326">
        <v>0</v>
      </c>
      <c r="L60" s="326">
        <v>0</v>
      </c>
      <c r="M60" s="31">
        <f>LOOKUP([1]CHILEINDICA!B44,[1]CHILEINDICA!B:B,[1]CHILEINDICA!AD:AD)</f>
        <v>0</v>
      </c>
      <c r="N60" s="31">
        <v>0</v>
      </c>
      <c r="O60" s="31">
        <v>0</v>
      </c>
      <c r="P60" s="31"/>
      <c r="Q60" s="31"/>
      <c r="R60" s="31"/>
      <c r="S60" s="92">
        <f t="shared" si="4"/>
        <v>0</v>
      </c>
      <c r="T60" s="32">
        <v>2</v>
      </c>
      <c r="U60" s="318">
        <v>1</v>
      </c>
      <c r="V60" s="325">
        <v>44218</v>
      </c>
      <c r="W60" s="316">
        <v>44246</v>
      </c>
      <c r="X60" s="32"/>
      <c r="Y60" s="35"/>
      <c r="Z60" s="36"/>
      <c r="AA60" s="89"/>
      <c r="AB60" s="32"/>
      <c r="AC60" s="33"/>
      <c r="AD60" s="36"/>
      <c r="AE60" s="89"/>
      <c r="AF60" s="32"/>
      <c r="AG60" s="33"/>
      <c r="AH60" s="36"/>
      <c r="AI60" s="89"/>
      <c r="AJ60" s="32"/>
      <c r="AK60" s="33"/>
      <c r="AL60" s="36"/>
      <c r="AM60" s="89"/>
      <c r="AN60" s="324">
        <f t="shared" si="5"/>
        <v>2</v>
      </c>
      <c r="AO60" s="323">
        <f t="shared" si="6"/>
        <v>2</v>
      </c>
    </row>
    <row r="61" spans="2:41" s="26" customFormat="1" x14ac:dyDescent="0.2">
      <c r="B61" s="333">
        <v>46</v>
      </c>
      <c r="C61" s="332" t="s">
        <v>39</v>
      </c>
      <c r="D61" s="331">
        <v>40021742</v>
      </c>
      <c r="E61" s="328" t="s">
        <v>1628</v>
      </c>
      <c r="F61" s="330" t="s">
        <v>54</v>
      </c>
      <c r="G61" s="329" t="s">
        <v>1576</v>
      </c>
      <c r="H61" s="328" t="s">
        <v>1581</v>
      </c>
      <c r="I61" s="88" t="s">
        <v>57</v>
      </c>
      <c r="J61" s="341">
        <v>99345</v>
      </c>
      <c r="K61" s="326">
        <v>94143</v>
      </c>
      <c r="L61" s="326">
        <v>0</v>
      </c>
      <c r="M61" s="31">
        <f>LOOKUP([1]CHILEINDICA!B45,[1]CHILEINDICA!B:B,[1]CHILEINDICA!AD:AD)</f>
        <v>0</v>
      </c>
      <c r="N61" s="31">
        <v>5202</v>
      </c>
      <c r="O61" s="31">
        <v>0</v>
      </c>
      <c r="P61" s="31"/>
      <c r="Q61" s="31"/>
      <c r="R61" s="31"/>
      <c r="S61" s="92">
        <f t="shared" si="4"/>
        <v>5202</v>
      </c>
      <c r="T61" s="32">
        <v>5202</v>
      </c>
      <c r="U61" s="318">
        <v>1</v>
      </c>
      <c r="V61" s="325">
        <v>44218</v>
      </c>
      <c r="W61" s="316">
        <v>44246</v>
      </c>
      <c r="X61" s="32"/>
      <c r="Y61" s="35"/>
      <c r="Z61" s="36"/>
      <c r="AA61" s="89"/>
      <c r="AB61" s="32"/>
      <c r="AC61" s="33"/>
      <c r="AD61" s="36"/>
      <c r="AE61" s="89"/>
      <c r="AF61" s="32"/>
      <c r="AG61" s="33"/>
      <c r="AH61" s="36"/>
      <c r="AI61" s="89"/>
      <c r="AJ61" s="32"/>
      <c r="AK61" s="33"/>
      <c r="AL61" s="36"/>
      <c r="AM61" s="89"/>
      <c r="AN61" s="324">
        <f t="shared" si="5"/>
        <v>5202</v>
      </c>
      <c r="AO61" s="323">
        <f t="shared" si="6"/>
        <v>0</v>
      </c>
    </row>
    <row r="62" spans="2:41" s="26" customFormat="1" x14ac:dyDescent="0.2">
      <c r="B62" s="333">
        <v>47</v>
      </c>
      <c r="C62" s="332" t="s">
        <v>39</v>
      </c>
      <c r="D62" s="350">
        <v>40022151</v>
      </c>
      <c r="E62" s="349" t="s">
        <v>1629</v>
      </c>
      <c r="F62" s="344" t="s">
        <v>54</v>
      </c>
      <c r="G62" s="337" t="s">
        <v>1576</v>
      </c>
      <c r="H62" s="336" t="s">
        <v>62</v>
      </c>
      <c r="I62" s="335" t="s">
        <v>72</v>
      </c>
      <c r="J62" s="348">
        <v>309818</v>
      </c>
      <c r="K62" s="326">
        <v>0</v>
      </c>
      <c r="L62" s="326">
        <v>0</v>
      </c>
      <c r="M62" s="31">
        <f>LOOKUP([1]CHILEINDICA!B46,[1]CHILEINDICA!B:B,[1]CHILEINDICA!AD:AD)</f>
        <v>0</v>
      </c>
      <c r="N62" s="31">
        <v>0</v>
      </c>
      <c r="O62" s="31">
        <v>0</v>
      </c>
      <c r="P62" s="31"/>
      <c r="Q62" s="31"/>
      <c r="R62" s="31"/>
      <c r="S62" s="92">
        <f t="shared" si="4"/>
        <v>0</v>
      </c>
      <c r="T62" s="32">
        <v>2</v>
      </c>
      <c r="U62" s="318">
        <v>1</v>
      </c>
      <c r="V62" s="325">
        <v>44218</v>
      </c>
      <c r="W62" s="316">
        <v>44246</v>
      </c>
      <c r="X62" s="32"/>
      <c r="Y62" s="35"/>
      <c r="Z62" s="36"/>
      <c r="AA62" s="89"/>
      <c r="AB62" s="32"/>
      <c r="AC62" s="33"/>
      <c r="AD62" s="36"/>
      <c r="AE62" s="89"/>
      <c r="AF62" s="32"/>
      <c r="AG62" s="33"/>
      <c r="AH62" s="36"/>
      <c r="AI62" s="89"/>
      <c r="AJ62" s="32"/>
      <c r="AK62" s="33"/>
      <c r="AL62" s="36"/>
      <c r="AM62" s="89"/>
      <c r="AN62" s="324">
        <f t="shared" si="5"/>
        <v>2</v>
      </c>
      <c r="AO62" s="323">
        <f t="shared" si="6"/>
        <v>2</v>
      </c>
    </row>
    <row r="63" spans="2:41" s="26" customFormat="1" x14ac:dyDescent="0.2">
      <c r="B63" s="333">
        <v>48</v>
      </c>
      <c r="C63" s="332" t="s">
        <v>39</v>
      </c>
      <c r="D63" s="347">
        <v>40028090</v>
      </c>
      <c r="E63" s="346" t="s">
        <v>1630</v>
      </c>
      <c r="F63" s="342" t="s">
        <v>1618</v>
      </c>
      <c r="G63" s="329" t="s">
        <v>1576</v>
      </c>
      <c r="H63" s="328" t="s">
        <v>62</v>
      </c>
      <c r="I63" s="88" t="s">
        <v>72</v>
      </c>
      <c r="J63" s="345">
        <v>507565</v>
      </c>
      <c r="K63" s="326">
        <v>0</v>
      </c>
      <c r="L63" s="326">
        <v>293566</v>
      </c>
      <c r="M63" s="31">
        <f>LOOKUP([1]CHILEINDICA!B47,[1]CHILEINDICA!B:B,[1]CHILEINDICA!AD:AD)</f>
        <v>0</v>
      </c>
      <c r="N63" s="31">
        <v>0</v>
      </c>
      <c r="O63" s="31">
        <v>0</v>
      </c>
      <c r="P63" s="31"/>
      <c r="Q63" s="31"/>
      <c r="R63" s="31"/>
      <c r="S63" s="92">
        <f t="shared" si="4"/>
        <v>0</v>
      </c>
      <c r="T63" s="32">
        <v>110000</v>
      </c>
      <c r="U63" s="318">
        <v>1</v>
      </c>
      <c r="V63" s="325">
        <v>44218</v>
      </c>
      <c r="W63" s="316">
        <v>44246</v>
      </c>
      <c r="X63" s="32"/>
      <c r="Y63" s="35"/>
      <c r="Z63" s="36"/>
      <c r="AA63" s="89"/>
      <c r="AB63" s="32"/>
      <c r="AC63" s="33"/>
      <c r="AD63" s="36"/>
      <c r="AE63" s="89"/>
      <c r="AF63" s="32"/>
      <c r="AG63" s="33"/>
      <c r="AH63" s="36"/>
      <c r="AI63" s="89"/>
      <c r="AJ63" s="32"/>
      <c r="AK63" s="33"/>
      <c r="AL63" s="36"/>
      <c r="AM63" s="89"/>
      <c r="AN63" s="324">
        <f t="shared" si="5"/>
        <v>110000</v>
      </c>
      <c r="AO63" s="323">
        <f t="shared" si="6"/>
        <v>110000</v>
      </c>
    </row>
    <row r="64" spans="2:41" s="26" customFormat="1" x14ac:dyDescent="0.2">
      <c r="B64" s="333">
        <v>49</v>
      </c>
      <c r="C64" s="343" t="s">
        <v>39</v>
      </c>
      <c r="D64" s="339">
        <v>30067992</v>
      </c>
      <c r="E64" s="336" t="s">
        <v>1631</v>
      </c>
      <c r="F64" s="344" t="s">
        <v>54</v>
      </c>
      <c r="G64" s="337" t="s">
        <v>1576</v>
      </c>
      <c r="H64" s="336" t="s">
        <v>1594</v>
      </c>
      <c r="I64" s="335" t="s">
        <v>57</v>
      </c>
      <c r="J64" s="340">
        <v>20315415</v>
      </c>
      <c r="K64" s="326">
        <v>19317723</v>
      </c>
      <c r="L64" s="326">
        <v>286184</v>
      </c>
      <c r="M64" s="31">
        <f>LOOKUP([1]CHILEINDICA!B48,[1]CHILEINDICA!B:B,[1]CHILEINDICA!AD:AD)</f>
        <v>0</v>
      </c>
      <c r="N64" s="31">
        <v>0</v>
      </c>
      <c r="O64" s="31">
        <v>3600</v>
      </c>
      <c r="P64" s="31"/>
      <c r="Q64" s="31"/>
      <c r="R64" s="31"/>
      <c r="S64" s="92">
        <f t="shared" si="4"/>
        <v>3600</v>
      </c>
      <c r="T64" s="32">
        <v>286184</v>
      </c>
      <c r="U64" s="318">
        <v>3</v>
      </c>
      <c r="V64" s="325">
        <v>44229</v>
      </c>
      <c r="W64" s="316">
        <v>44252</v>
      </c>
      <c r="X64" s="32"/>
      <c r="Y64" s="35"/>
      <c r="Z64" s="36"/>
      <c r="AA64" s="89"/>
      <c r="AB64" s="32"/>
      <c r="AC64" s="33"/>
      <c r="AD64" s="36"/>
      <c r="AE64" s="89"/>
      <c r="AF64" s="32"/>
      <c r="AG64" s="33"/>
      <c r="AH64" s="36"/>
      <c r="AI64" s="89"/>
      <c r="AJ64" s="32"/>
      <c r="AK64" s="33"/>
      <c r="AL64" s="36"/>
      <c r="AM64" s="89"/>
      <c r="AN64" s="324">
        <f t="shared" si="5"/>
        <v>286184</v>
      </c>
      <c r="AO64" s="323">
        <f t="shared" si="6"/>
        <v>282584</v>
      </c>
    </row>
    <row r="65" spans="2:41" s="26" customFormat="1" x14ac:dyDescent="0.2">
      <c r="B65" s="333">
        <v>50</v>
      </c>
      <c r="C65" s="343" t="s">
        <v>39</v>
      </c>
      <c r="D65" s="331">
        <v>30124722</v>
      </c>
      <c r="E65" s="328" t="s">
        <v>1632</v>
      </c>
      <c r="F65" s="330" t="s">
        <v>54</v>
      </c>
      <c r="G65" s="329" t="s">
        <v>1576</v>
      </c>
      <c r="H65" s="328" t="s">
        <v>1583</v>
      </c>
      <c r="I65" s="88" t="s">
        <v>72</v>
      </c>
      <c r="J65" s="341">
        <v>2482935</v>
      </c>
      <c r="K65" s="326">
        <v>0</v>
      </c>
      <c r="L65" s="326">
        <v>1362008</v>
      </c>
      <c r="M65" s="31">
        <f>LOOKUP([1]CHILEINDICA!B49,[1]CHILEINDICA!B:B,[1]CHILEINDICA!AD:AD)</f>
        <v>0</v>
      </c>
      <c r="N65" s="31">
        <f>LOOKUP(D65,[1]CHILEINDICA!B:B,[1]CHILEINDICA!AE:AE)</f>
        <v>0</v>
      </c>
      <c r="O65" s="31">
        <f>LOOKUP(D65,[1]CHILEINDICA!B:B,[1]CHILEINDICA!AF:AF)</f>
        <v>0</v>
      </c>
      <c r="P65" s="31"/>
      <c r="Q65" s="31"/>
      <c r="R65" s="31"/>
      <c r="S65" s="92">
        <f t="shared" si="4"/>
        <v>0</v>
      </c>
      <c r="T65" s="32">
        <v>1118707</v>
      </c>
      <c r="U65" s="318">
        <v>3</v>
      </c>
      <c r="V65" s="325">
        <v>44229</v>
      </c>
      <c r="W65" s="316">
        <v>44252</v>
      </c>
      <c r="X65" s="32"/>
      <c r="Y65" s="35"/>
      <c r="Z65" s="36"/>
      <c r="AA65" s="89"/>
      <c r="AB65" s="32"/>
      <c r="AC65" s="33"/>
      <c r="AD65" s="36"/>
      <c r="AE65" s="89"/>
      <c r="AF65" s="32"/>
      <c r="AG65" s="33"/>
      <c r="AH65" s="36"/>
      <c r="AI65" s="89"/>
      <c r="AJ65" s="32"/>
      <c r="AK65" s="33"/>
      <c r="AL65" s="36"/>
      <c r="AM65" s="89"/>
      <c r="AN65" s="324">
        <f t="shared" si="5"/>
        <v>1118707</v>
      </c>
      <c r="AO65" s="323">
        <f t="shared" si="6"/>
        <v>1118707</v>
      </c>
    </row>
    <row r="66" spans="2:41" s="26" customFormat="1" x14ac:dyDescent="0.2">
      <c r="B66" s="333">
        <v>51</v>
      </c>
      <c r="C66" s="332" t="s">
        <v>39</v>
      </c>
      <c r="D66" s="339">
        <v>30392925</v>
      </c>
      <c r="E66" s="336" t="s">
        <v>1633</v>
      </c>
      <c r="F66" s="338" t="s">
        <v>54</v>
      </c>
      <c r="G66" s="337" t="s">
        <v>1576</v>
      </c>
      <c r="H66" s="336" t="s">
        <v>62</v>
      </c>
      <c r="I66" s="335" t="s">
        <v>72</v>
      </c>
      <c r="J66" s="340">
        <v>7643453</v>
      </c>
      <c r="K66" s="326">
        <v>0</v>
      </c>
      <c r="L66" s="326">
        <v>7638343</v>
      </c>
      <c r="M66" s="31">
        <f>LOOKUP([1]CHILEINDICA!B50,[1]CHILEINDICA!B:B,[1]CHILEINDICA!AD:AD)</f>
        <v>0</v>
      </c>
      <c r="N66" s="31">
        <f>LOOKUP(D66,[1]CHILEINDICA!B:B,[1]CHILEINDICA!AE:AE)</f>
        <v>0</v>
      </c>
      <c r="O66" s="31">
        <f>LOOKUP(D66,[1]CHILEINDICA!B:B,[1]CHILEINDICA!AF:AF)</f>
        <v>0</v>
      </c>
      <c r="P66" s="31"/>
      <c r="Q66" s="31"/>
      <c r="R66" s="31"/>
      <c r="S66" s="92">
        <f t="shared" si="4"/>
        <v>0</v>
      </c>
      <c r="T66" s="32">
        <v>5088</v>
      </c>
      <c r="U66" s="318">
        <v>3</v>
      </c>
      <c r="V66" s="325">
        <v>44229</v>
      </c>
      <c r="W66" s="316">
        <v>44252</v>
      </c>
      <c r="X66" s="32"/>
      <c r="Y66" s="35"/>
      <c r="Z66" s="36"/>
      <c r="AA66" s="89"/>
      <c r="AB66" s="32"/>
      <c r="AC66" s="33"/>
      <c r="AD66" s="36"/>
      <c r="AE66" s="89"/>
      <c r="AF66" s="32"/>
      <c r="AG66" s="33"/>
      <c r="AH66" s="36"/>
      <c r="AI66" s="89"/>
      <c r="AJ66" s="32"/>
      <c r="AK66" s="33"/>
      <c r="AL66" s="36"/>
      <c r="AM66" s="89"/>
      <c r="AN66" s="324">
        <f t="shared" si="5"/>
        <v>5088</v>
      </c>
      <c r="AO66" s="323">
        <f t="shared" si="6"/>
        <v>5088</v>
      </c>
    </row>
    <row r="67" spans="2:41" s="26" customFormat="1" x14ac:dyDescent="0.2">
      <c r="B67" s="333">
        <v>52</v>
      </c>
      <c r="C67" s="332" t="s">
        <v>39</v>
      </c>
      <c r="D67" s="331">
        <v>30423990</v>
      </c>
      <c r="E67" s="328" t="s">
        <v>1634</v>
      </c>
      <c r="F67" s="342" t="s">
        <v>54</v>
      </c>
      <c r="G67" s="329" t="s">
        <v>1576</v>
      </c>
      <c r="H67" s="328" t="s">
        <v>1581</v>
      </c>
      <c r="I67" s="88" t="s">
        <v>72</v>
      </c>
      <c r="J67" s="341">
        <v>817983</v>
      </c>
      <c r="K67" s="326">
        <v>0</v>
      </c>
      <c r="L67" s="326">
        <v>492983</v>
      </c>
      <c r="M67" s="31">
        <f>LOOKUP([1]CHILEINDICA!B51,[1]CHILEINDICA!B:B,[1]CHILEINDICA!AD:AD)</f>
        <v>0</v>
      </c>
      <c r="N67" s="31">
        <f>LOOKUP(D67,[1]CHILEINDICA!B:B,[1]CHILEINDICA!AE:AE)</f>
        <v>0</v>
      </c>
      <c r="O67" s="31">
        <f>LOOKUP(D67,[1]CHILEINDICA!B:B,[1]CHILEINDICA!AF:AF)</f>
        <v>0</v>
      </c>
      <c r="P67" s="31"/>
      <c r="Q67" s="31"/>
      <c r="R67" s="31"/>
      <c r="S67" s="92">
        <f t="shared" si="4"/>
        <v>0</v>
      </c>
      <c r="T67" s="32">
        <v>325000</v>
      </c>
      <c r="U67" s="318">
        <v>3</v>
      </c>
      <c r="V67" s="325">
        <v>44229</v>
      </c>
      <c r="W67" s="316">
        <v>44252</v>
      </c>
      <c r="X67" s="32"/>
      <c r="Y67" s="35"/>
      <c r="Z67" s="36"/>
      <c r="AA67" s="89"/>
      <c r="AB67" s="32"/>
      <c r="AC67" s="33"/>
      <c r="AD67" s="36"/>
      <c r="AE67" s="89"/>
      <c r="AF67" s="32"/>
      <c r="AG67" s="33"/>
      <c r="AH67" s="36"/>
      <c r="AI67" s="89"/>
      <c r="AJ67" s="32"/>
      <c r="AK67" s="33"/>
      <c r="AL67" s="36"/>
      <c r="AM67" s="89"/>
      <c r="AN67" s="324">
        <f t="shared" si="5"/>
        <v>325000</v>
      </c>
      <c r="AO67" s="323">
        <f t="shared" si="6"/>
        <v>325000</v>
      </c>
    </row>
    <row r="68" spans="2:41" s="26" customFormat="1" x14ac:dyDescent="0.2">
      <c r="B68" s="333">
        <v>53</v>
      </c>
      <c r="C68" s="332" t="s">
        <v>39</v>
      </c>
      <c r="D68" s="339">
        <v>30424073</v>
      </c>
      <c r="E68" s="336" t="s">
        <v>1635</v>
      </c>
      <c r="F68" s="338" t="s">
        <v>54</v>
      </c>
      <c r="G68" s="337" t="s">
        <v>1576</v>
      </c>
      <c r="H68" s="336" t="s">
        <v>1577</v>
      </c>
      <c r="I68" s="335" t="s">
        <v>72</v>
      </c>
      <c r="J68" s="340">
        <v>837396</v>
      </c>
      <c r="K68" s="326">
        <v>0</v>
      </c>
      <c r="L68" s="326">
        <v>528604</v>
      </c>
      <c r="M68" s="31">
        <f>LOOKUP([1]CHILEINDICA!B52,[1]CHILEINDICA!B:B,[1]CHILEINDICA!AD:AD)</f>
        <v>0</v>
      </c>
      <c r="N68" s="31">
        <f>LOOKUP(D68,[1]CHILEINDICA!B:B,[1]CHILEINDICA!AE:AE)</f>
        <v>0</v>
      </c>
      <c r="O68" s="31">
        <f>LOOKUP(D68,[1]CHILEINDICA!B:B,[1]CHILEINDICA!AF:AF)</f>
        <v>0</v>
      </c>
      <c r="P68" s="31"/>
      <c r="Q68" s="31"/>
      <c r="R68" s="31"/>
      <c r="S68" s="92">
        <f t="shared" si="4"/>
        <v>0</v>
      </c>
      <c r="T68" s="32">
        <v>308438</v>
      </c>
      <c r="U68" s="318">
        <v>3</v>
      </c>
      <c r="V68" s="325">
        <v>44229</v>
      </c>
      <c r="W68" s="316">
        <v>44252</v>
      </c>
      <c r="X68" s="32"/>
      <c r="Y68" s="35"/>
      <c r="Z68" s="36"/>
      <c r="AA68" s="89"/>
      <c r="AB68" s="32"/>
      <c r="AC68" s="33"/>
      <c r="AD68" s="36"/>
      <c r="AE68" s="89"/>
      <c r="AF68" s="32"/>
      <c r="AG68" s="33"/>
      <c r="AH68" s="36"/>
      <c r="AI68" s="89"/>
      <c r="AJ68" s="32"/>
      <c r="AK68" s="33"/>
      <c r="AL68" s="36"/>
      <c r="AM68" s="89"/>
      <c r="AN68" s="324">
        <f t="shared" si="5"/>
        <v>308438</v>
      </c>
      <c r="AO68" s="323">
        <f t="shared" si="6"/>
        <v>308438</v>
      </c>
    </row>
    <row r="69" spans="2:41" s="26" customFormat="1" x14ac:dyDescent="0.2">
      <c r="B69" s="333">
        <v>54</v>
      </c>
      <c r="C69" s="332" t="s">
        <v>39</v>
      </c>
      <c r="D69" s="331">
        <v>30487374</v>
      </c>
      <c r="E69" s="328" t="s">
        <v>1636</v>
      </c>
      <c r="F69" s="342" t="s">
        <v>54</v>
      </c>
      <c r="G69" s="329" t="s">
        <v>1576</v>
      </c>
      <c r="H69" s="328" t="s">
        <v>1587</v>
      </c>
      <c r="I69" s="88" t="s">
        <v>72</v>
      </c>
      <c r="J69" s="341">
        <v>440929</v>
      </c>
      <c r="K69" s="326">
        <v>270</v>
      </c>
      <c r="L69" s="326">
        <v>62954</v>
      </c>
      <c r="M69" s="31">
        <f>LOOKUP([1]CHILEINDICA!B53,[1]CHILEINDICA!B:B,[1]CHILEINDICA!AD:AD)</f>
        <v>0</v>
      </c>
      <c r="N69" s="31">
        <f>LOOKUP(D69,[1]CHILEINDICA!B:B,[1]CHILEINDICA!AE:AE)</f>
        <v>0</v>
      </c>
      <c r="O69" s="31">
        <f>LOOKUP(D69,[1]CHILEINDICA!B:B,[1]CHILEINDICA!AF:AF)</f>
        <v>0</v>
      </c>
      <c r="P69" s="31"/>
      <c r="Q69" s="31"/>
      <c r="R69" s="31"/>
      <c r="S69" s="92">
        <f t="shared" si="4"/>
        <v>0</v>
      </c>
      <c r="T69" s="32">
        <v>376320</v>
      </c>
      <c r="U69" s="318">
        <v>3</v>
      </c>
      <c r="V69" s="325">
        <v>44229</v>
      </c>
      <c r="W69" s="316">
        <v>44252</v>
      </c>
      <c r="X69" s="32"/>
      <c r="Y69" s="35"/>
      <c r="Z69" s="36"/>
      <c r="AA69" s="89"/>
      <c r="AB69" s="32"/>
      <c r="AC69" s="33"/>
      <c r="AD69" s="36"/>
      <c r="AE69" s="89"/>
      <c r="AF69" s="32"/>
      <c r="AG69" s="33"/>
      <c r="AH69" s="36"/>
      <c r="AI69" s="89"/>
      <c r="AJ69" s="32"/>
      <c r="AK69" s="33"/>
      <c r="AL69" s="36"/>
      <c r="AM69" s="89"/>
      <c r="AN69" s="324">
        <f t="shared" si="5"/>
        <v>376320</v>
      </c>
      <c r="AO69" s="323">
        <f t="shared" si="6"/>
        <v>376320</v>
      </c>
    </row>
    <row r="70" spans="2:41" s="26" customFormat="1" x14ac:dyDescent="0.2">
      <c r="B70" s="333">
        <v>55</v>
      </c>
      <c r="C70" s="332" t="s">
        <v>39</v>
      </c>
      <c r="D70" s="339">
        <v>40009760</v>
      </c>
      <c r="E70" s="336" t="s">
        <v>1637</v>
      </c>
      <c r="F70" s="338" t="s">
        <v>60</v>
      </c>
      <c r="G70" s="337" t="s">
        <v>1576</v>
      </c>
      <c r="H70" s="336" t="s">
        <v>62</v>
      </c>
      <c r="I70" s="335" t="s">
        <v>72</v>
      </c>
      <c r="J70" s="340">
        <v>838373</v>
      </c>
      <c r="K70" s="326">
        <v>0</v>
      </c>
      <c r="L70" s="326">
        <v>121601</v>
      </c>
      <c r="M70" s="31">
        <f>LOOKUP([1]CHILEINDICA!B54,[1]CHILEINDICA!B:B,[1]CHILEINDICA!AD:AD)</f>
        <v>0</v>
      </c>
      <c r="N70" s="31">
        <f>LOOKUP(D70,[1]CHILEINDICA!B:B,[1]CHILEINDICA!AE:AE)</f>
        <v>0</v>
      </c>
      <c r="O70" s="31">
        <f>LOOKUP(D70,[1]CHILEINDICA!B:B,[1]CHILEINDICA!AF:AF)</f>
        <v>0</v>
      </c>
      <c r="P70" s="31"/>
      <c r="Q70" s="31"/>
      <c r="R70" s="31"/>
      <c r="S70" s="92">
        <f t="shared" si="4"/>
        <v>0</v>
      </c>
      <c r="T70" s="32">
        <v>705500</v>
      </c>
      <c r="U70" s="318">
        <v>3</v>
      </c>
      <c r="V70" s="325">
        <v>44229</v>
      </c>
      <c r="W70" s="316">
        <v>44252</v>
      </c>
      <c r="X70" s="32"/>
      <c r="Y70" s="35"/>
      <c r="Z70" s="36"/>
      <c r="AA70" s="89"/>
      <c r="AB70" s="32"/>
      <c r="AC70" s="33"/>
      <c r="AD70" s="36"/>
      <c r="AE70" s="89"/>
      <c r="AF70" s="32"/>
      <c r="AG70" s="33"/>
      <c r="AH70" s="36"/>
      <c r="AI70" s="89"/>
      <c r="AJ70" s="32"/>
      <c r="AK70" s="33"/>
      <c r="AL70" s="36"/>
      <c r="AM70" s="89"/>
      <c r="AN70" s="324">
        <f t="shared" si="5"/>
        <v>705500</v>
      </c>
      <c r="AO70" s="323">
        <f t="shared" si="6"/>
        <v>705500</v>
      </c>
    </row>
    <row r="71" spans="2:41" s="26" customFormat="1" x14ac:dyDescent="0.2">
      <c r="B71" s="333">
        <v>56</v>
      </c>
      <c r="C71" s="332" t="s">
        <v>39</v>
      </c>
      <c r="D71" s="331">
        <v>40018374</v>
      </c>
      <c r="E71" s="328" t="s">
        <v>1638</v>
      </c>
      <c r="F71" s="330" t="s">
        <v>54</v>
      </c>
      <c r="G71" s="329" t="s">
        <v>1576</v>
      </c>
      <c r="H71" s="328" t="s">
        <v>1587</v>
      </c>
      <c r="I71" s="88" t="s">
        <v>72</v>
      </c>
      <c r="J71" s="327">
        <v>473507</v>
      </c>
      <c r="K71" s="326">
        <v>0</v>
      </c>
      <c r="L71" s="326">
        <v>238333</v>
      </c>
      <c r="M71" s="31">
        <f>LOOKUP([1]CHILEINDICA!B55,[1]CHILEINDICA!B:B,[1]CHILEINDICA!AD:AD)</f>
        <v>0</v>
      </c>
      <c r="N71" s="31">
        <f>LOOKUP(D71,[1]CHILEINDICA!B:B,[1]CHILEINDICA!AE:AE)</f>
        <v>0</v>
      </c>
      <c r="O71" s="31">
        <f>LOOKUP(D71,[1]CHILEINDICA!B:B,[1]CHILEINDICA!AF:AF)</f>
        <v>0</v>
      </c>
      <c r="P71" s="31"/>
      <c r="Q71" s="31"/>
      <c r="R71" s="31"/>
      <c r="S71" s="92">
        <f t="shared" si="4"/>
        <v>0</v>
      </c>
      <c r="T71" s="32">
        <v>235152</v>
      </c>
      <c r="U71" s="318">
        <v>3</v>
      </c>
      <c r="V71" s="325">
        <v>44229</v>
      </c>
      <c r="W71" s="316">
        <v>44252</v>
      </c>
      <c r="X71" s="32"/>
      <c r="Y71" s="35"/>
      <c r="Z71" s="36"/>
      <c r="AA71" s="89"/>
      <c r="AB71" s="32"/>
      <c r="AC71" s="33"/>
      <c r="AD71" s="36"/>
      <c r="AE71" s="89"/>
      <c r="AF71" s="32"/>
      <c r="AG71" s="33"/>
      <c r="AH71" s="36"/>
      <c r="AI71" s="89"/>
      <c r="AJ71" s="32"/>
      <c r="AK71" s="33"/>
      <c r="AL71" s="36"/>
      <c r="AM71" s="89"/>
      <c r="AN71" s="324">
        <f t="shared" si="5"/>
        <v>235152</v>
      </c>
      <c r="AO71" s="323">
        <f t="shared" si="6"/>
        <v>235152</v>
      </c>
    </row>
    <row r="72" spans="2:41" s="26" customFormat="1" x14ac:dyDescent="0.2">
      <c r="B72" s="333">
        <v>57</v>
      </c>
      <c r="C72" s="332" t="s">
        <v>39</v>
      </c>
      <c r="D72" s="339">
        <v>40023066</v>
      </c>
      <c r="E72" s="336" t="s">
        <v>1639</v>
      </c>
      <c r="F72" s="338" t="s">
        <v>60</v>
      </c>
      <c r="G72" s="337" t="s">
        <v>1576</v>
      </c>
      <c r="H72" s="336" t="s">
        <v>1581</v>
      </c>
      <c r="I72" s="335" t="s">
        <v>72</v>
      </c>
      <c r="J72" s="334">
        <v>89839</v>
      </c>
      <c r="K72" s="326">
        <v>0</v>
      </c>
      <c r="L72" s="326">
        <v>70634</v>
      </c>
      <c r="M72" s="31">
        <f>LOOKUP([1]CHILEINDICA!B56,[1]CHILEINDICA!B:B,[1]CHILEINDICA!AD:AD)</f>
        <v>0</v>
      </c>
      <c r="N72" s="31">
        <f>LOOKUP(D72,[1]CHILEINDICA!B:B,[1]CHILEINDICA!AE:AE)</f>
        <v>0</v>
      </c>
      <c r="O72" s="31">
        <f>LOOKUP(D72,[1]CHILEINDICA!B:B,[1]CHILEINDICA!AF:AF)</f>
        <v>0</v>
      </c>
      <c r="P72" s="31"/>
      <c r="Q72" s="31"/>
      <c r="R72" s="31"/>
      <c r="S72" s="92">
        <f t="shared" si="4"/>
        <v>0</v>
      </c>
      <c r="T72" s="32">
        <v>19165</v>
      </c>
      <c r="U72" s="318">
        <v>3</v>
      </c>
      <c r="V72" s="325">
        <v>44229</v>
      </c>
      <c r="W72" s="316">
        <v>44252</v>
      </c>
      <c r="X72" s="32"/>
      <c r="Y72" s="35"/>
      <c r="Z72" s="36"/>
      <c r="AA72" s="89"/>
      <c r="AB72" s="32"/>
      <c r="AC72" s="33"/>
      <c r="AD72" s="36"/>
      <c r="AE72" s="89"/>
      <c r="AF72" s="32"/>
      <c r="AG72" s="33"/>
      <c r="AH72" s="36"/>
      <c r="AI72" s="89"/>
      <c r="AJ72" s="32"/>
      <c r="AK72" s="33"/>
      <c r="AL72" s="36"/>
      <c r="AM72" s="89"/>
      <c r="AN72" s="324">
        <f t="shared" si="5"/>
        <v>19165</v>
      </c>
      <c r="AO72" s="323">
        <f t="shared" si="6"/>
        <v>19165</v>
      </c>
    </row>
    <row r="73" spans="2:41" s="26" customFormat="1" x14ac:dyDescent="0.2">
      <c r="B73" s="333">
        <v>58</v>
      </c>
      <c r="C73" s="332" t="s">
        <v>39</v>
      </c>
      <c r="D73" s="331">
        <v>40026579</v>
      </c>
      <c r="E73" s="328" t="s">
        <v>1640</v>
      </c>
      <c r="F73" s="330" t="s">
        <v>60</v>
      </c>
      <c r="G73" s="329" t="s">
        <v>1576</v>
      </c>
      <c r="H73" s="328" t="s">
        <v>1583</v>
      </c>
      <c r="I73" s="88" t="s">
        <v>72</v>
      </c>
      <c r="J73" s="327">
        <v>96146</v>
      </c>
      <c r="K73" s="326">
        <v>0</v>
      </c>
      <c r="L73" s="326">
        <v>0</v>
      </c>
      <c r="M73" s="31">
        <f>LOOKUP([1]CHILEINDICA!B57,[1]CHILEINDICA!B:B,[1]CHILEINDICA!AD:AD)</f>
        <v>0</v>
      </c>
      <c r="N73" s="31">
        <f>LOOKUP(D73,[1]CHILEINDICA!B:B,[1]CHILEINDICA!AE:AE)</f>
        <v>0</v>
      </c>
      <c r="O73" s="31">
        <f>LOOKUP(D73,[1]CHILEINDICA!B:B,[1]CHILEINDICA!AF:AF)</f>
        <v>0</v>
      </c>
      <c r="P73" s="31"/>
      <c r="Q73" s="31"/>
      <c r="R73" s="31"/>
      <c r="S73" s="92">
        <f t="shared" si="4"/>
        <v>0</v>
      </c>
      <c r="T73" s="32">
        <v>94030</v>
      </c>
      <c r="U73" s="318">
        <v>3</v>
      </c>
      <c r="V73" s="325">
        <v>44229</v>
      </c>
      <c r="W73" s="316">
        <v>44252</v>
      </c>
      <c r="X73" s="32"/>
      <c r="Y73" s="35"/>
      <c r="Z73" s="36"/>
      <c r="AA73" s="89"/>
      <c r="AB73" s="32"/>
      <c r="AC73" s="33"/>
      <c r="AD73" s="36"/>
      <c r="AE73" s="89"/>
      <c r="AF73" s="32"/>
      <c r="AG73" s="33"/>
      <c r="AH73" s="36"/>
      <c r="AI73" s="89"/>
      <c r="AJ73" s="32"/>
      <c r="AK73" s="33"/>
      <c r="AL73" s="36"/>
      <c r="AM73" s="89"/>
      <c r="AN73" s="324">
        <f t="shared" si="5"/>
        <v>94030</v>
      </c>
      <c r="AO73" s="323">
        <f t="shared" si="6"/>
        <v>94030</v>
      </c>
    </row>
    <row r="74" spans="2:41" s="26" customFormat="1" x14ac:dyDescent="0.2">
      <c r="B74" s="315"/>
      <c r="C74" s="320"/>
      <c r="D74" s="111"/>
      <c r="E74" s="314"/>
      <c r="F74" s="29"/>
      <c r="G74" s="30"/>
      <c r="H74" s="42"/>
      <c r="I74" s="88"/>
      <c r="J74" s="88"/>
      <c r="K74" s="31"/>
      <c r="L74" s="31"/>
      <c r="M74" s="31"/>
      <c r="N74" s="31"/>
      <c r="O74" s="31"/>
      <c r="P74" s="31"/>
      <c r="Q74" s="31"/>
      <c r="R74" s="31"/>
      <c r="S74" s="31">
        <f t="shared" si="4"/>
        <v>0</v>
      </c>
      <c r="T74" s="32"/>
      <c r="U74" s="318"/>
      <c r="V74" s="317"/>
      <c r="W74" s="316"/>
      <c r="X74" s="32"/>
      <c r="Y74" s="35"/>
      <c r="Z74" s="36"/>
      <c r="AA74" s="89"/>
      <c r="AB74" s="32"/>
      <c r="AC74" s="33"/>
      <c r="AD74" s="36"/>
      <c r="AE74" s="89"/>
      <c r="AF74" s="32"/>
      <c r="AG74" s="33"/>
      <c r="AH74" s="36"/>
      <c r="AI74" s="89"/>
      <c r="AJ74" s="32"/>
      <c r="AK74" s="33"/>
      <c r="AL74" s="36"/>
      <c r="AM74" s="89"/>
      <c r="AN74" s="317"/>
      <c r="AO74" s="316"/>
    </row>
    <row r="75" spans="2:41" s="26" customFormat="1" x14ac:dyDescent="0.2">
      <c r="B75" s="27"/>
      <c r="C75" s="320"/>
      <c r="D75" s="322"/>
      <c r="E75" s="314"/>
      <c r="F75" s="29"/>
      <c r="G75" s="30"/>
      <c r="H75" s="42"/>
      <c r="I75" s="88"/>
      <c r="J75" s="88"/>
      <c r="K75" s="31"/>
      <c r="L75" s="31"/>
      <c r="M75" s="31"/>
      <c r="N75" s="31"/>
      <c r="O75" s="31"/>
      <c r="P75" s="31"/>
      <c r="Q75" s="31"/>
      <c r="R75" s="31"/>
      <c r="S75" s="31">
        <f t="shared" si="4"/>
        <v>0</v>
      </c>
      <c r="T75" s="32"/>
      <c r="U75" s="318"/>
      <c r="V75" s="317"/>
      <c r="W75" s="316"/>
      <c r="X75" s="32"/>
      <c r="Y75" s="35"/>
      <c r="Z75" s="36"/>
      <c r="AA75" s="89"/>
      <c r="AB75" s="32"/>
      <c r="AC75" s="33"/>
      <c r="AD75" s="36"/>
      <c r="AE75" s="89"/>
      <c r="AF75" s="32"/>
      <c r="AG75" s="33"/>
      <c r="AH75" s="36"/>
      <c r="AI75" s="89"/>
      <c r="AJ75" s="32"/>
      <c r="AK75" s="33"/>
      <c r="AL75" s="36"/>
      <c r="AM75" s="89"/>
      <c r="AN75" s="321"/>
      <c r="AO75" s="321"/>
    </row>
    <row r="76" spans="2:41" s="26" customFormat="1" x14ac:dyDescent="0.2">
      <c r="B76" s="27"/>
      <c r="C76" s="320"/>
      <c r="D76" s="319"/>
      <c r="E76" s="314"/>
      <c r="F76" s="29"/>
      <c r="G76" s="30"/>
      <c r="H76" s="42"/>
      <c r="I76" s="88"/>
      <c r="J76" s="88"/>
      <c r="K76" s="31"/>
      <c r="L76" s="31"/>
      <c r="M76" s="31"/>
      <c r="N76" s="31"/>
      <c r="O76" s="31"/>
      <c r="P76" s="31"/>
      <c r="Q76" s="31"/>
      <c r="R76" s="31"/>
      <c r="S76" s="31">
        <f t="shared" si="4"/>
        <v>0</v>
      </c>
      <c r="T76" s="32"/>
      <c r="U76" s="318"/>
      <c r="V76" s="317"/>
      <c r="W76" s="316"/>
      <c r="X76" s="32"/>
      <c r="Y76" s="35"/>
      <c r="Z76" s="36"/>
      <c r="AA76" s="89"/>
      <c r="AB76" s="32"/>
      <c r="AC76" s="33"/>
      <c r="AD76" s="36"/>
      <c r="AE76" s="89"/>
      <c r="AF76" s="32"/>
      <c r="AG76" s="33"/>
      <c r="AH76" s="36"/>
      <c r="AI76" s="89"/>
      <c r="AJ76" s="32"/>
      <c r="AK76" s="33"/>
      <c r="AL76" s="36"/>
      <c r="AM76" s="89"/>
      <c r="AN76" s="37"/>
      <c r="AO76" s="38"/>
    </row>
    <row r="77" spans="2:41" s="26" customFormat="1" x14ac:dyDescent="0.25">
      <c r="B77" s="27"/>
      <c r="C77" s="315"/>
      <c r="D77" s="28"/>
      <c r="E77" s="314"/>
      <c r="F77" s="29"/>
      <c r="G77" s="30"/>
      <c r="H77" s="42"/>
      <c r="I77" s="88"/>
      <c r="J77" s="88"/>
      <c r="K77" s="31"/>
      <c r="L77" s="31"/>
      <c r="M77" s="31"/>
      <c r="N77" s="31"/>
      <c r="O77" s="31"/>
      <c r="P77" s="31"/>
      <c r="Q77" s="31"/>
      <c r="R77" s="31"/>
      <c r="S77" s="31">
        <f t="shared" si="4"/>
        <v>0</v>
      </c>
      <c r="T77" s="32"/>
      <c r="U77" s="33"/>
      <c r="V77" s="36"/>
      <c r="W77" s="89"/>
      <c r="X77" s="32"/>
      <c r="Y77" s="35"/>
      <c r="Z77" s="36"/>
      <c r="AA77" s="89"/>
      <c r="AB77" s="32"/>
      <c r="AC77" s="33"/>
      <c r="AD77" s="36"/>
      <c r="AE77" s="89"/>
      <c r="AF77" s="32"/>
      <c r="AG77" s="33"/>
      <c r="AH77" s="36"/>
      <c r="AI77" s="89"/>
      <c r="AJ77" s="32"/>
      <c r="AK77" s="33"/>
      <c r="AL77" s="36"/>
      <c r="AM77" s="89"/>
      <c r="AN77" s="37"/>
      <c r="AO77" s="38"/>
    </row>
    <row r="78" spans="2:41" s="26" customFormat="1" x14ac:dyDescent="0.25">
      <c r="B78" s="27"/>
      <c r="C78" s="315"/>
      <c r="D78" s="28"/>
      <c r="E78" s="314"/>
      <c r="F78" s="29"/>
      <c r="G78" s="30"/>
      <c r="H78" s="42"/>
      <c r="I78" s="88"/>
      <c r="J78" s="88"/>
      <c r="K78" s="31"/>
      <c r="L78" s="31"/>
      <c r="M78" s="31"/>
      <c r="N78" s="31"/>
      <c r="O78" s="31"/>
      <c r="P78" s="31"/>
      <c r="Q78" s="31"/>
      <c r="R78" s="31"/>
      <c r="S78" s="31">
        <f t="shared" si="4"/>
        <v>0</v>
      </c>
      <c r="T78" s="32"/>
      <c r="U78" s="33"/>
      <c r="V78" s="36"/>
      <c r="W78" s="89"/>
      <c r="X78" s="32"/>
      <c r="Y78" s="35"/>
      <c r="Z78" s="36"/>
      <c r="AA78" s="89"/>
      <c r="AB78" s="32"/>
      <c r="AC78" s="33"/>
      <c r="AD78" s="36"/>
      <c r="AE78" s="89"/>
      <c r="AF78" s="32"/>
      <c r="AG78" s="33"/>
      <c r="AH78" s="36"/>
      <c r="AI78" s="89"/>
      <c r="AJ78" s="32"/>
      <c r="AK78" s="33"/>
      <c r="AL78" s="36"/>
      <c r="AM78" s="89"/>
      <c r="AN78" s="37"/>
      <c r="AO78" s="38"/>
    </row>
    <row r="79" spans="2:41" s="26" customFormat="1" x14ac:dyDescent="0.25">
      <c r="B79" s="27"/>
      <c r="C79" s="315"/>
      <c r="D79" s="28"/>
      <c r="E79" s="314"/>
      <c r="F79" s="29"/>
      <c r="G79" s="30"/>
      <c r="H79" s="42"/>
      <c r="I79" s="88"/>
      <c r="J79" s="88"/>
      <c r="K79" s="31"/>
      <c r="L79" s="31"/>
      <c r="M79" s="31"/>
      <c r="N79" s="31"/>
      <c r="O79" s="31"/>
      <c r="P79" s="31"/>
      <c r="Q79" s="31"/>
      <c r="R79" s="31"/>
      <c r="S79" s="31">
        <f t="shared" si="4"/>
        <v>0</v>
      </c>
      <c r="T79" s="32"/>
      <c r="U79" s="33"/>
      <c r="V79" s="36"/>
      <c r="W79" s="89"/>
      <c r="X79" s="32"/>
      <c r="Y79" s="35"/>
      <c r="Z79" s="36"/>
      <c r="AA79" s="89"/>
      <c r="AB79" s="32"/>
      <c r="AC79" s="33"/>
      <c r="AD79" s="36"/>
      <c r="AE79" s="89"/>
      <c r="AF79" s="32"/>
      <c r="AG79" s="33"/>
      <c r="AH79" s="36"/>
      <c r="AI79" s="89"/>
      <c r="AJ79" s="32"/>
      <c r="AK79" s="33"/>
      <c r="AL79" s="36"/>
      <c r="AM79" s="89"/>
      <c r="AN79" s="37"/>
      <c r="AO79" s="38"/>
    </row>
    <row r="80" spans="2:41" s="26" customFormat="1" x14ac:dyDescent="0.25">
      <c r="B80" s="27"/>
      <c r="C80" s="315"/>
      <c r="D80" s="28"/>
      <c r="E80" s="314"/>
      <c r="F80" s="29"/>
      <c r="G80" s="30"/>
      <c r="H80" s="42"/>
      <c r="I80" s="88"/>
      <c r="J80" s="88"/>
      <c r="K80" s="31"/>
      <c r="L80" s="31"/>
      <c r="M80" s="31"/>
      <c r="N80" s="31"/>
      <c r="O80" s="31"/>
      <c r="P80" s="31"/>
      <c r="Q80" s="31"/>
      <c r="R80" s="31"/>
      <c r="S80" s="31">
        <f t="shared" ref="S80:S82" si="7">SUM(M80:R80)</f>
        <v>0</v>
      </c>
      <c r="T80" s="32"/>
      <c r="U80" s="33"/>
      <c r="V80" s="36"/>
      <c r="W80" s="89"/>
      <c r="X80" s="32"/>
      <c r="Y80" s="35"/>
      <c r="Z80" s="36"/>
      <c r="AA80" s="89"/>
      <c r="AB80" s="32"/>
      <c r="AC80" s="33"/>
      <c r="AD80" s="36"/>
      <c r="AE80" s="89"/>
      <c r="AF80" s="32"/>
      <c r="AG80" s="33"/>
      <c r="AH80" s="36"/>
      <c r="AI80" s="89"/>
      <c r="AJ80" s="32"/>
      <c r="AK80" s="33"/>
      <c r="AL80" s="36"/>
      <c r="AM80" s="89"/>
      <c r="AN80" s="37"/>
      <c r="AO80" s="38"/>
    </row>
    <row r="81" spans="2:41" s="26" customFormat="1" x14ac:dyDescent="0.25">
      <c r="B81" s="27"/>
      <c r="C81" s="315"/>
      <c r="D81" s="28"/>
      <c r="E81" s="314"/>
      <c r="F81" s="29"/>
      <c r="G81" s="30"/>
      <c r="H81" s="42"/>
      <c r="I81" s="88"/>
      <c r="J81" s="88"/>
      <c r="K81" s="31"/>
      <c r="L81" s="31"/>
      <c r="M81" s="31"/>
      <c r="N81" s="31"/>
      <c r="O81" s="31"/>
      <c r="P81" s="31"/>
      <c r="Q81" s="31"/>
      <c r="R81" s="31"/>
      <c r="S81" s="31">
        <f t="shared" si="7"/>
        <v>0</v>
      </c>
      <c r="T81" s="32"/>
      <c r="U81" s="33"/>
      <c r="V81" s="36"/>
      <c r="W81" s="89"/>
      <c r="X81" s="32"/>
      <c r="Y81" s="35"/>
      <c r="Z81" s="36"/>
      <c r="AA81" s="89"/>
      <c r="AB81" s="32"/>
      <c r="AC81" s="33"/>
      <c r="AD81" s="36"/>
      <c r="AE81" s="89"/>
      <c r="AF81" s="32"/>
      <c r="AG81" s="33"/>
      <c r="AH81" s="36"/>
      <c r="AI81" s="89"/>
      <c r="AJ81" s="32"/>
      <c r="AK81" s="33"/>
      <c r="AL81" s="36"/>
      <c r="AM81" s="89"/>
      <c r="AN81" s="37"/>
      <c r="AO81" s="38"/>
    </row>
    <row r="82" spans="2:41" s="26" customFormat="1" x14ac:dyDescent="0.25">
      <c r="B82" s="27"/>
      <c r="C82" s="315"/>
      <c r="D82" s="28"/>
      <c r="E82" s="314"/>
      <c r="F82" s="29"/>
      <c r="G82" s="30"/>
      <c r="H82" s="42"/>
      <c r="I82" s="43"/>
      <c r="J82" s="43"/>
      <c r="K82" s="31"/>
      <c r="L82" s="31"/>
      <c r="M82" s="31"/>
      <c r="N82" s="31"/>
      <c r="O82" s="31"/>
      <c r="P82" s="31"/>
      <c r="Q82" s="31"/>
      <c r="R82" s="31"/>
      <c r="S82" s="31">
        <f t="shared" si="7"/>
        <v>0</v>
      </c>
      <c r="T82" s="32"/>
      <c r="U82" s="33"/>
      <c r="V82" s="36"/>
      <c r="W82" s="89"/>
      <c r="X82" s="32"/>
      <c r="Y82" s="35"/>
      <c r="Z82" s="36"/>
      <c r="AA82" s="89"/>
      <c r="AB82" s="32"/>
      <c r="AC82" s="33"/>
      <c r="AD82" s="36"/>
      <c r="AE82" s="89"/>
      <c r="AF82" s="32"/>
      <c r="AG82" s="33"/>
      <c r="AH82" s="36"/>
      <c r="AI82" s="89"/>
      <c r="AJ82" s="32"/>
      <c r="AK82" s="33"/>
      <c r="AL82" s="36"/>
      <c r="AM82" s="89"/>
      <c r="AN82" s="37"/>
      <c r="AO82" s="38"/>
    </row>
    <row r="83" spans="2:41" ht="15" customHeight="1" x14ac:dyDescent="0.25">
      <c r="B83" s="534" t="s">
        <v>40</v>
      </c>
      <c r="C83" s="535"/>
      <c r="D83" s="535"/>
      <c r="E83" s="535"/>
      <c r="F83" s="535"/>
      <c r="G83" s="535"/>
      <c r="H83" s="535"/>
      <c r="I83" s="536"/>
      <c r="J83" s="48">
        <f>SUBTOTAL(9,J16:J80)</f>
        <v>172149138</v>
      </c>
      <c r="K83" s="48">
        <f>SUBTOTAL(9,K16:K80)</f>
        <v>87600421</v>
      </c>
      <c r="L83" s="48">
        <f>SUBTOTAL(9,L16:L80)</f>
        <v>25769539</v>
      </c>
      <c r="M83" s="48">
        <f>SUBTOTAL(9,M15:M80)</f>
        <v>0</v>
      </c>
      <c r="N83" s="48">
        <f>SUBTOTAL(9,N16:N80)</f>
        <v>2285449</v>
      </c>
      <c r="O83" s="48">
        <f>SUBTOTAL(9,O16:O80)</f>
        <v>1945363</v>
      </c>
      <c r="P83" s="48">
        <f>SUBTOTAL(9,P15:P80)</f>
        <v>0</v>
      </c>
      <c r="Q83" s="48">
        <f>SUBTOTAL(9,Q15:Q80)</f>
        <v>0</v>
      </c>
      <c r="R83" s="48">
        <f>SUBTOTAL(9,R15:R80)</f>
        <v>0</v>
      </c>
      <c r="S83" s="48">
        <f>SUBTOTAL(9,S16:S80)</f>
        <v>4230812</v>
      </c>
      <c r="T83" s="48">
        <f>SUBTOTAL(9,T16:T80)</f>
        <v>28607532</v>
      </c>
      <c r="U83" s="48"/>
      <c r="V83" s="48"/>
      <c r="W83" s="48"/>
      <c r="X83" s="48">
        <f>SUBTOTAL(9,X15:X80)</f>
        <v>-79737</v>
      </c>
      <c r="Y83" s="48"/>
      <c r="Z83" s="48"/>
      <c r="AA83" s="48"/>
      <c r="AB83" s="48">
        <f>SUBTOTAL(9,AB15:AB80)</f>
        <v>0</v>
      </c>
      <c r="AC83" s="48"/>
      <c r="AD83" s="48"/>
      <c r="AE83" s="48"/>
      <c r="AF83" s="48">
        <f>SUBTOTAL(9,AF15:AF80)</f>
        <v>0</v>
      </c>
      <c r="AG83" s="48"/>
      <c r="AH83" s="48"/>
      <c r="AI83" s="48"/>
      <c r="AJ83" s="48">
        <f>SUBTOTAL(9,AJ15:AJ80)</f>
        <v>0</v>
      </c>
      <c r="AK83" s="48"/>
      <c r="AL83" s="48"/>
      <c r="AM83" s="48"/>
      <c r="AN83" s="48">
        <f>SUBTOTAL(9,AN15:AN80)</f>
        <v>28527795</v>
      </c>
      <c r="AO83" s="48">
        <f>SUBTOTAL(9,AO15:AO80)</f>
        <v>24296983</v>
      </c>
    </row>
    <row r="84" spans="2:41" ht="20.25" customHeight="1" x14ac:dyDescent="0.2">
      <c r="B84" s="537"/>
      <c r="C84" s="537"/>
      <c r="D84" s="537"/>
      <c r="E84" s="537"/>
      <c r="F84" s="44"/>
      <c r="G84" s="16"/>
      <c r="H84" s="16"/>
      <c r="S84" s="286"/>
    </row>
    <row r="85" spans="2:41" ht="15" x14ac:dyDescent="0.25">
      <c r="B85" s="538"/>
      <c r="C85" s="538"/>
      <c r="D85" s="538"/>
      <c r="E85" s="538"/>
      <c r="F85" s="538"/>
      <c r="G85" s="538"/>
      <c r="H85" s="538"/>
      <c r="I85" s="538"/>
      <c r="J85" s="538"/>
      <c r="K85" s="538"/>
      <c r="L85" s="538"/>
      <c r="M85" s="538"/>
      <c r="N85" s="538"/>
      <c r="O85" s="538"/>
      <c r="P85" s="538"/>
      <c r="Q85" s="538"/>
      <c r="R85" s="538"/>
      <c r="S85" s="538"/>
      <c r="T85" s="538"/>
      <c r="U85" s="538"/>
      <c r="V85" s="538"/>
      <c r="W85" s="538"/>
      <c r="X85" s="538"/>
      <c r="Y85" s="538"/>
      <c r="Z85" s="538"/>
      <c r="AA85" s="538"/>
      <c r="AB85" s="538"/>
      <c r="AC85" s="538"/>
      <c r="AD85" s="45"/>
      <c r="AE85" s="45"/>
      <c r="AF85" s="45"/>
      <c r="AG85" s="47"/>
      <c r="AH85" s="45"/>
      <c r="AI85" s="45"/>
      <c r="AJ85" s="45"/>
      <c r="AK85" s="47"/>
      <c r="AL85" s="45"/>
      <c r="AM85" s="45"/>
      <c r="AN85" s="287"/>
    </row>
    <row r="86" spans="2:41" ht="15" x14ac:dyDescent="0.25">
      <c r="AN86" s="287"/>
    </row>
    <row r="87" spans="2:41" ht="15" x14ac:dyDescent="0.25">
      <c r="AN87"/>
    </row>
    <row r="88" spans="2:41" ht="15" x14ac:dyDescent="0.25">
      <c r="R88"/>
      <c r="S88"/>
    </row>
    <row r="89" spans="2:41" ht="15" x14ac:dyDescent="0.25">
      <c r="R89"/>
      <c r="S89"/>
    </row>
    <row r="90" spans="2:41" ht="15" x14ac:dyDescent="0.25">
      <c r="R90"/>
      <c r="S90"/>
    </row>
    <row r="91" spans="2:41" ht="15" x14ac:dyDescent="0.25">
      <c r="R91"/>
      <c r="S91"/>
    </row>
    <row r="92" spans="2:41" ht="18.75" x14ac:dyDescent="0.3">
      <c r="S92" s="313"/>
    </row>
    <row r="93" spans="2:41" ht="18.75" x14ac:dyDescent="0.3">
      <c r="S93" s="313"/>
    </row>
  </sheetData>
  <mergeCells count="16">
    <mergeCell ref="B8:W8"/>
    <mergeCell ref="B1:W2"/>
    <mergeCell ref="B3:W4"/>
    <mergeCell ref="B5:W5"/>
    <mergeCell ref="B6:W6"/>
    <mergeCell ref="B7:W7"/>
    <mergeCell ref="B9:W10"/>
    <mergeCell ref="AF14:AI14"/>
    <mergeCell ref="AJ14:AM14"/>
    <mergeCell ref="AN14:AO14"/>
    <mergeCell ref="B85:AC85"/>
    <mergeCell ref="T14:W14"/>
    <mergeCell ref="X14:AA14"/>
    <mergeCell ref="AB14:AE14"/>
    <mergeCell ref="B83:I83"/>
    <mergeCell ref="B84:E84"/>
  </mergeCells>
  <conditionalFormatting sqref="D77:D81">
    <cfRule type="duplicateValues" dxfId="25" priority="3"/>
  </conditionalFormatting>
  <conditionalFormatting sqref="D82">
    <cfRule type="duplicateValues" dxfId="24" priority="4"/>
  </conditionalFormatting>
  <conditionalFormatting sqref="D76 D18:D39">
    <cfRule type="duplicateValues" dxfId="23" priority="5"/>
  </conditionalFormatting>
  <conditionalFormatting sqref="D40:D50">
    <cfRule type="duplicateValues" dxfId="22" priority="2"/>
  </conditionalFormatting>
  <conditionalFormatting sqref="D16:D17">
    <cfRule type="duplicateValues" dxfId="21" priority="1"/>
  </conditionalFormatting>
  <pageMargins left="0.7" right="0.7" top="0.75" bottom="0.75" header="0.3" footer="0.3"/>
  <pageSetup scale="3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130"/>
  <sheetViews>
    <sheetView showGridLines="0" tabSelected="1" topLeftCell="A12" zoomScaleNormal="100" workbookViewId="0">
      <pane ySplit="4" topLeftCell="A16" activePane="bottomLeft" state="frozen"/>
      <selection activeCell="A12" sqref="A12"/>
      <selection pane="bottomLeft" activeCell="H112" sqref="H112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9" width="9.7109375" style="4" customWidth="1"/>
    <col min="10" max="10" width="11.7109375" style="4" customWidth="1"/>
    <col min="11" max="25" width="12" style="4" customWidth="1"/>
    <col min="26" max="26" width="10.140625" style="4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1"/>
      <c r="AE1" s="2"/>
      <c r="AF1" s="1"/>
      <c r="AG1" s="1"/>
      <c r="AH1" s="1"/>
      <c r="AI1" s="3"/>
      <c r="AJ1" s="1"/>
      <c r="AK1" s="1"/>
      <c r="AL1" s="1"/>
      <c r="AM1" s="3"/>
      <c r="AN1" s="1"/>
      <c r="AO1" s="1"/>
      <c r="AP1" s="1"/>
      <c r="AQ1" s="3"/>
      <c r="AR1" s="1"/>
      <c r="AS1" s="1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1"/>
      <c r="AE2" s="2"/>
      <c r="AF2" s="1"/>
      <c r="AG2" s="1"/>
      <c r="AH2" s="1"/>
      <c r="AI2" s="3"/>
      <c r="AJ2" s="1"/>
      <c r="AK2" s="1"/>
      <c r="AL2" s="1"/>
      <c r="AM2" s="3"/>
      <c r="AN2" s="1"/>
      <c r="AO2" s="1"/>
      <c r="AP2" s="1"/>
      <c r="AQ2" s="3"/>
      <c r="AR2" s="1"/>
      <c r="AS2" s="1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5"/>
      <c r="AE3" s="6"/>
      <c r="AF3" s="5"/>
      <c r="AG3" s="5"/>
      <c r="AH3" s="5"/>
      <c r="AI3" s="7"/>
      <c r="AJ3" s="5"/>
      <c r="AK3" s="5"/>
      <c r="AL3" s="5"/>
      <c r="AM3" s="7"/>
      <c r="AN3" s="5"/>
      <c r="AO3" s="5"/>
      <c r="AP3" s="5"/>
      <c r="AQ3" s="7"/>
      <c r="AR3" s="5"/>
      <c r="AS3" s="5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5"/>
      <c r="AE4" s="6"/>
      <c r="AF4" s="5"/>
      <c r="AG4" s="5"/>
      <c r="AH4" s="5"/>
      <c r="AI4" s="7"/>
      <c r="AJ4" s="5"/>
      <c r="AK4" s="5"/>
      <c r="AL4" s="5"/>
      <c r="AM4" s="7"/>
      <c r="AN4" s="5"/>
      <c r="AO4" s="5"/>
      <c r="AP4" s="5"/>
      <c r="AQ4" s="7"/>
      <c r="AR4" s="5"/>
      <c r="AS4" s="5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5"/>
      <c r="AE5" s="6"/>
      <c r="AF5" s="5"/>
      <c r="AG5" s="5"/>
      <c r="AH5" s="5"/>
      <c r="AI5" s="7"/>
      <c r="AJ5" s="5"/>
      <c r="AK5" s="5"/>
      <c r="AL5" s="5"/>
      <c r="AM5" s="7"/>
      <c r="AN5" s="5"/>
      <c r="AO5" s="5"/>
      <c r="AP5" s="5"/>
      <c r="AQ5" s="7"/>
      <c r="AR5" s="5"/>
      <c r="AS5" s="5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5"/>
      <c r="AE6" s="6"/>
      <c r="AF6" s="5"/>
      <c r="AG6" s="5"/>
      <c r="AH6" s="5"/>
      <c r="AI6" s="7"/>
      <c r="AJ6" s="5"/>
      <c r="AK6" s="5"/>
      <c r="AL6" s="5"/>
      <c r="AM6" s="7"/>
      <c r="AN6" s="5"/>
      <c r="AO6" s="5"/>
      <c r="AP6" s="5"/>
      <c r="AQ6" s="7"/>
      <c r="AR6" s="5"/>
      <c r="AS6" s="5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5"/>
      <c r="AE7" s="6"/>
      <c r="AF7" s="5"/>
      <c r="AG7" s="5"/>
      <c r="AH7" s="5"/>
      <c r="AI7" s="7"/>
      <c r="AJ7" s="5"/>
      <c r="AK7" s="5"/>
      <c r="AL7" s="5"/>
      <c r="AM7" s="7"/>
      <c r="AN7" s="5"/>
      <c r="AO7" s="5"/>
      <c r="AP7" s="5"/>
      <c r="AQ7" s="7"/>
      <c r="AR7" s="5"/>
      <c r="AS7" s="5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5"/>
      <c r="AE8" s="6"/>
      <c r="AF8" s="5"/>
      <c r="AG8" s="5"/>
      <c r="AH8" s="5"/>
      <c r="AI8" s="7"/>
      <c r="AJ8" s="5"/>
      <c r="AK8" s="5"/>
      <c r="AL8" s="5"/>
      <c r="AM8" s="7"/>
      <c r="AN8" s="5"/>
      <c r="AO8" s="5"/>
      <c r="AP8" s="5"/>
      <c r="AQ8" s="7"/>
      <c r="AR8" s="5"/>
      <c r="AS8" s="5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5"/>
      <c r="AE9" s="6"/>
      <c r="AF9" s="5"/>
      <c r="AG9" s="5"/>
      <c r="AH9" s="5"/>
      <c r="AI9" s="7"/>
      <c r="AJ9" s="5"/>
      <c r="AK9" s="5"/>
      <c r="AL9" s="5"/>
      <c r="AM9" s="7"/>
      <c r="AN9" s="5"/>
      <c r="AO9" s="5"/>
      <c r="AP9" s="5"/>
      <c r="AQ9" s="7"/>
      <c r="AR9" s="5"/>
      <c r="AS9" s="5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</row>
    <row r="13" spans="2:47" ht="19.5" thickBot="1" x14ac:dyDescent="0.25">
      <c r="B13" s="15">
        <v>46138317</v>
      </c>
      <c r="C13" s="15">
        <v>41971017</v>
      </c>
      <c r="D13" s="15">
        <v>40970822</v>
      </c>
      <c r="E13" s="15">
        <f>+Y125</f>
        <v>9420179</v>
      </c>
      <c r="F13" s="67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</row>
    <row r="14" spans="2:47" ht="15" customHeight="1" thickBot="1" x14ac:dyDescent="0.25">
      <c r="C14" s="17"/>
      <c r="D14" s="18"/>
      <c r="E14" s="17"/>
      <c r="F14" s="17"/>
      <c r="Z14" s="531" t="s">
        <v>5</v>
      </c>
      <c r="AA14" s="532"/>
      <c r="AB14" s="532"/>
      <c r="AC14" s="532"/>
      <c r="AD14" s="556" t="s">
        <v>6</v>
      </c>
      <c r="AE14" s="557"/>
      <c r="AF14" s="557"/>
      <c r="AG14" s="558"/>
      <c r="AH14" s="556" t="s">
        <v>6</v>
      </c>
      <c r="AI14" s="557"/>
      <c r="AJ14" s="557"/>
      <c r="AK14" s="558"/>
      <c r="AL14" s="556" t="s">
        <v>6</v>
      </c>
      <c r="AM14" s="557"/>
      <c r="AN14" s="557"/>
      <c r="AO14" s="558"/>
      <c r="AP14" s="556" t="s">
        <v>6</v>
      </c>
      <c r="AQ14" s="557"/>
      <c r="AR14" s="557"/>
      <c r="AS14" s="558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75" t="s">
        <v>18</v>
      </c>
      <c r="M15" s="77" t="s">
        <v>19</v>
      </c>
      <c r="N15" s="78" t="s">
        <v>20</v>
      </c>
      <c r="O15" s="79" t="s">
        <v>21</v>
      </c>
      <c r="P15" s="77" t="s">
        <v>22</v>
      </c>
      <c r="Q15" s="78" t="s">
        <v>23</v>
      </c>
      <c r="R15" s="79" t="s">
        <v>24</v>
      </c>
      <c r="S15" s="77" t="s">
        <v>25</v>
      </c>
      <c r="T15" s="78" t="s">
        <v>26</v>
      </c>
      <c r="U15" s="79" t="s">
        <v>27</v>
      </c>
      <c r="V15" s="77" t="s">
        <v>28</v>
      </c>
      <c r="W15" s="78" t="s">
        <v>29</v>
      </c>
      <c r="X15" s="79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53" t="s">
        <v>35</v>
      </c>
      <c r="AD15" s="58" t="s">
        <v>36</v>
      </c>
      <c r="AE15" s="25" t="s">
        <v>44</v>
      </c>
      <c r="AF15" s="24" t="s">
        <v>47</v>
      </c>
      <c r="AG15" s="59" t="s">
        <v>48</v>
      </c>
      <c r="AH15" s="58" t="s">
        <v>36</v>
      </c>
      <c r="AI15" s="25" t="s">
        <v>45</v>
      </c>
      <c r="AJ15" s="24" t="s">
        <v>49</v>
      </c>
      <c r="AK15" s="59" t="s">
        <v>50</v>
      </c>
      <c r="AL15" s="58" t="s">
        <v>36</v>
      </c>
      <c r="AM15" s="25" t="s">
        <v>46</v>
      </c>
      <c r="AN15" s="24" t="s">
        <v>51</v>
      </c>
      <c r="AO15" s="59" t="s">
        <v>52</v>
      </c>
      <c r="AP15" s="58" t="s">
        <v>36</v>
      </c>
      <c r="AQ15" s="25" t="s">
        <v>33</v>
      </c>
      <c r="AR15" s="24" t="s">
        <v>34</v>
      </c>
      <c r="AS15" s="59" t="s">
        <v>35</v>
      </c>
      <c r="AT15" s="49" t="s">
        <v>37</v>
      </c>
      <c r="AU15" s="49" t="s">
        <v>38</v>
      </c>
    </row>
    <row r="16" spans="2:47" s="26" customFormat="1" ht="33.75" x14ac:dyDescent="0.25">
      <c r="B16" s="27">
        <v>1</v>
      </c>
      <c r="C16" s="27" t="s">
        <v>42</v>
      </c>
      <c r="D16" s="50">
        <f>+'[2]Planilla  2021'!$D7</f>
        <v>30484670</v>
      </c>
      <c r="E16" s="29" t="str">
        <f>+'[2]Planilla  2021'!$E7</f>
        <v>ACTUALIZACION PLAN REGULADOR COMUNA DE SAN GREGORIO, REGIÓN DE MAGALLANES YANTÁRTICA CHILENA</v>
      </c>
      <c r="F16" s="51" t="str">
        <f>+'[2]Planilla  2021'!$G7</f>
        <v>Ejecución</v>
      </c>
      <c r="G16" s="30" t="s">
        <v>2291</v>
      </c>
      <c r="H16" s="30" t="str">
        <f>+'[2]Planilla  2021'!$K7</f>
        <v>SAN GREGORIO</v>
      </c>
      <c r="I16" s="95" t="s">
        <v>57</v>
      </c>
      <c r="J16" s="31">
        <f>+'[2]Planilla  2021'!$AW7</f>
        <v>78678</v>
      </c>
      <c r="K16" s="31">
        <f>+'[2]Planilla  2021'!$AK7</f>
        <v>0</v>
      </c>
      <c r="L16" s="76">
        <f>+'[2]Planilla  2021'!$BJ7</f>
        <v>26532</v>
      </c>
      <c r="M16" s="80"/>
      <c r="N16" s="31"/>
      <c r="O16" s="81"/>
      <c r="P16" s="80"/>
      <c r="Q16" s="31"/>
      <c r="R16" s="81"/>
      <c r="S16" s="80"/>
      <c r="T16" s="31"/>
      <c r="U16" s="81"/>
      <c r="V16" s="80"/>
      <c r="W16" s="31"/>
      <c r="X16" s="81"/>
      <c r="Y16" s="31">
        <f>SUM(M16:X16)</f>
        <v>0</v>
      </c>
      <c r="Z16" s="32">
        <f>75000</f>
        <v>75000</v>
      </c>
      <c r="AA16" s="33">
        <v>1</v>
      </c>
      <c r="AB16" s="34">
        <v>44223</v>
      </c>
      <c r="AC16" s="54">
        <v>44244</v>
      </c>
      <c r="AD16" s="60"/>
      <c r="AE16" s="35"/>
      <c r="AF16" s="34"/>
      <c r="AG16" s="61"/>
      <c r="AH16" s="32">
        <f>-60000</f>
        <v>-60000</v>
      </c>
      <c r="AI16" s="35">
        <v>9</v>
      </c>
      <c r="AJ16" s="34">
        <v>44244</v>
      </c>
      <c r="AK16" s="61">
        <v>44249</v>
      </c>
      <c r="AL16" s="32">
        <f>-3195</f>
        <v>-3195</v>
      </c>
      <c r="AM16" s="35">
        <v>13</v>
      </c>
      <c r="AN16" s="34">
        <v>44277</v>
      </c>
      <c r="AO16" s="61">
        <v>44281</v>
      </c>
      <c r="AP16" s="60"/>
      <c r="AQ16" s="35"/>
      <c r="AR16" s="34"/>
      <c r="AS16" s="61"/>
      <c r="AT16" s="37">
        <f t="shared" ref="AT16:AT124" si="0">+Z16+AD16+AH16+AL16+AP16</f>
        <v>11805</v>
      </c>
      <c r="AU16" s="38">
        <f t="shared" ref="AU16:AU124" si="1">+AT16-Y16</f>
        <v>11805</v>
      </c>
    </row>
    <row r="17" spans="2:47" s="26" customFormat="1" ht="22.5" x14ac:dyDescent="0.25">
      <c r="B17" s="27">
        <v>2</v>
      </c>
      <c r="C17" s="27" t="s">
        <v>42</v>
      </c>
      <c r="D17" s="50">
        <f>+'[2]Planilla  2021'!$D8</f>
        <v>40013512</v>
      </c>
      <c r="E17" s="29" t="str">
        <f>+'[2]Planilla  2021'!$E8</f>
        <v>DIAGNOSTICO DISEÑO SENDERO MONTE TARN, UBICADO EN BNP CABO FROWARD.</v>
      </c>
      <c r="F17" s="51" t="str">
        <f>+'[2]Planilla  2021'!$G8</f>
        <v>Ejecución</v>
      </c>
      <c r="G17" s="30" t="s">
        <v>2291</v>
      </c>
      <c r="H17" s="30" t="str">
        <f>+'[2]Planilla  2021'!$K8</f>
        <v>PUNTA ARENAS</v>
      </c>
      <c r="I17" s="95" t="s">
        <v>72</v>
      </c>
      <c r="J17" s="31">
        <f>+'[2]Planilla  2021'!$AW8</f>
        <v>36978</v>
      </c>
      <c r="K17" s="31">
        <f>+'[2]Planilla  2021'!$AK8</f>
        <v>0</v>
      </c>
      <c r="L17" s="76">
        <f>+'[2]Planilla  2021'!$BJ8</f>
        <v>35510</v>
      </c>
      <c r="M17" s="80"/>
      <c r="N17" s="31"/>
      <c r="O17" s="81"/>
      <c r="P17" s="80"/>
      <c r="Q17" s="31"/>
      <c r="R17" s="81"/>
      <c r="S17" s="80"/>
      <c r="T17" s="31"/>
      <c r="U17" s="81"/>
      <c r="V17" s="80"/>
      <c r="W17" s="31"/>
      <c r="X17" s="81"/>
      <c r="Y17" s="31">
        <f t="shared" ref="Y17:Y111" si="2">SUM(M17:X17)</f>
        <v>0</v>
      </c>
      <c r="Z17" s="32">
        <v>1468</v>
      </c>
      <c r="AA17" s="33">
        <v>1</v>
      </c>
      <c r="AB17" s="34">
        <v>44207</v>
      </c>
      <c r="AC17" s="54">
        <v>44214</v>
      </c>
      <c r="AD17" s="60"/>
      <c r="AE17" s="35"/>
      <c r="AF17" s="36"/>
      <c r="AG17" s="61"/>
      <c r="AH17" s="60"/>
      <c r="AI17" s="35"/>
      <c r="AJ17" s="36"/>
      <c r="AK17" s="61"/>
      <c r="AL17" s="60"/>
      <c r="AM17" s="35"/>
      <c r="AN17" s="36"/>
      <c r="AO17" s="61"/>
      <c r="AP17" s="60"/>
      <c r="AQ17" s="35"/>
      <c r="AR17" s="36"/>
      <c r="AS17" s="61"/>
      <c r="AT17" s="37">
        <f t="shared" si="0"/>
        <v>1468</v>
      </c>
      <c r="AU17" s="38">
        <f t="shared" si="1"/>
        <v>1468</v>
      </c>
    </row>
    <row r="18" spans="2:47" s="26" customFormat="1" ht="22.5" x14ac:dyDescent="0.25">
      <c r="B18" s="27">
        <v>3</v>
      </c>
      <c r="C18" s="27" t="s">
        <v>42</v>
      </c>
      <c r="D18" s="50">
        <f>+'[2]Planilla  2021'!$D9</f>
        <v>30480932</v>
      </c>
      <c r="E18" s="29" t="str">
        <f>+'[2]Planilla  2021'!$E9</f>
        <v>ACTUALIZACION PLADECO COMUNA DE NATALES 2017-2025</v>
      </c>
      <c r="F18" s="51" t="str">
        <f>+'[2]Planilla  2021'!$G9</f>
        <v>Ejecución</v>
      </c>
      <c r="G18" s="30" t="s">
        <v>2291</v>
      </c>
      <c r="H18" s="30" t="str">
        <f>+'[2]Planilla  2021'!$K9</f>
        <v>NATALES</v>
      </c>
      <c r="I18" s="95" t="s">
        <v>57</v>
      </c>
      <c r="J18" s="31">
        <f>+'[2]Planilla  2021'!$AW9</f>
        <v>73259</v>
      </c>
      <c r="K18" s="31">
        <f>+'[2]Planilla  2021'!$AK9</f>
        <v>53742</v>
      </c>
      <c r="L18" s="76">
        <f>+'[2]Planilla  2021'!$BJ9</f>
        <v>0</v>
      </c>
      <c r="M18" s="80"/>
      <c r="N18" s="31"/>
      <c r="O18" s="81">
        <v>11917</v>
      </c>
      <c r="P18" s="80"/>
      <c r="Q18" s="31"/>
      <c r="R18" s="81"/>
      <c r="S18" s="80"/>
      <c r="T18" s="31"/>
      <c r="U18" s="81"/>
      <c r="V18" s="80"/>
      <c r="W18" s="31"/>
      <c r="X18" s="81"/>
      <c r="Y18" s="31">
        <f t="shared" si="2"/>
        <v>11917</v>
      </c>
      <c r="Z18" s="32">
        <v>19517</v>
      </c>
      <c r="AA18" s="39">
        <v>1</v>
      </c>
      <c r="AB18" s="34">
        <v>44207</v>
      </c>
      <c r="AC18" s="54">
        <v>44214</v>
      </c>
      <c r="AD18" s="62"/>
      <c r="AE18" s="40"/>
      <c r="AF18" s="34"/>
      <c r="AG18" s="63"/>
      <c r="AH18" s="62"/>
      <c r="AI18" s="40"/>
      <c r="AJ18" s="34"/>
      <c r="AK18" s="63"/>
      <c r="AL18" s="62"/>
      <c r="AM18" s="40"/>
      <c r="AN18" s="34"/>
      <c r="AO18" s="63"/>
      <c r="AP18" s="62"/>
      <c r="AQ18" s="40"/>
      <c r="AR18" s="34"/>
      <c r="AS18" s="63"/>
      <c r="AT18" s="37">
        <f t="shared" si="0"/>
        <v>19517</v>
      </c>
      <c r="AU18" s="38">
        <f t="shared" si="1"/>
        <v>7600</v>
      </c>
    </row>
    <row r="19" spans="2:47" s="26" customFormat="1" ht="22.5" x14ac:dyDescent="0.25">
      <c r="B19" s="27">
        <v>4</v>
      </c>
      <c r="C19" s="27" t="s">
        <v>42</v>
      </c>
      <c r="D19" s="50">
        <f>+'[2]Planilla  2021'!$D10</f>
        <v>40004727</v>
      </c>
      <c r="E19" s="29" t="str">
        <f>+'[2]Planilla  2021'!$E10</f>
        <v>ACTUALIZACION PROSECUCIÓN Y TRAMITACIÓN PLAN REGULADOR COMUNA DE PORVENIR</v>
      </c>
      <c r="F19" s="51" t="str">
        <f>+'[2]Planilla  2021'!$G10</f>
        <v>Ejecución</v>
      </c>
      <c r="G19" s="30" t="s">
        <v>2291</v>
      </c>
      <c r="H19" s="30" t="str">
        <f>+'[2]Planilla  2021'!$K10</f>
        <v>PORVENIR</v>
      </c>
      <c r="I19" s="95" t="s">
        <v>57</v>
      </c>
      <c r="J19" s="31">
        <f>+'[2]Planilla  2021'!$AW10</f>
        <v>186383</v>
      </c>
      <c r="K19" s="31">
        <f>+'[2]Planilla  2021'!$AK10</f>
        <v>0</v>
      </c>
      <c r="L19" s="76">
        <f>+'[2]Planilla  2021'!$BJ10</f>
        <v>174233</v>
      </c>
      <c r="M19" s="80"/>
      <c r="N19" s="31"/>
      <c r="O19" s="81"/>
      <c r="P19" s="80"/>
      <c r="Q19" s="31"/>
      <c r="R19" s="81"/>
      <c r="S19" s="80"/>
      <c r="T19" s="31"/>
      <c r="U19" s="81"/>
      <c r="V19" s="80"/>
      <c r="W19" s="31"/>
      <c r="X19" s="81"/>
      <c r="Y19" s="31">
        <f t="shared" si="2"/>
        <v>0</v>
      </c>
      <c r="Z19" s="32">
        <f>12150</f>
        <v>12150</v>
      </c>
      <c r="AA19" s="39">
        <v>1</v>
      </c>
      <c r="AB19" s="34">
        <v>44223</v>
      </c>
      <c r="AC19" s="55">
        <v>44244</v>
      </c>
      <c r="AD19" s="60"/>
      <c r="AE19" s="40"/>
      <c r="AF19" s="34"/>
      <c r="AG19" s="63"/>
      <c r="AH19" s="60"/>
      <c r="AI19" s="40"/>
      <c r="AJ19" s="34"/>
      <c r="AK19" s="63"/>
      <c r="AL19" s="32">
        <f>3195</f>
        <v>3195</v>
      </c>
      <c r="AM19" s="40">
        <v>13</v>
      </c>
      <c r="AN19" s="34">
        <v>44277</v>
      </c>
      <c r="AO19" s="63">
        <v>44281</v>
      </c>
      <c r="AP19" s="60"/>
      <c r="AQ19" s="40"/>
      <c r="AR19" s="34"/>
      <c r="AS19" s="63"/>
      <c r="AT19" s="37">
        <f t="shared" si="0"/>
        <v>15345</v>
      </c>
      <c r="AU19" s="38">
        <f t="shared" si="1"/>
        <v>15345</v>
      </c>
    </row>
    <row r="20" spans="2:47" s="26" customFormat="1" ht="22.5" x14ac:dyDescent="0.25">
      <c r="B20" s="27">
        <v>5</v>
      </c>
      <c r="C20" s="27" t="s">
        <v>39</v>
      </c>
      <c r="D20" s="50">
        <f>+'[2]Planilla  2021'!$D11</f>
        <v>30076653</v>
      </c>
      <c r="E20" s="29" t="str">
        <f>+'[2]Planilla  2021'!$E11</f>
        <v>MEJORAMIENTO RUTA COSTERA VILLA UKIKA-AEROPUERTO, PTO. WILLIAMS</v>
      </c>
      <c r="F20" s="51" t="str">
        <f>+'[2]Planilla  2021'!$G11</f>
        <v>Ejecución</v>
      </c>
      <c r="G20" s="30" t="s">
        <v>2291</v>
      </c>
      <c r="H20" s="30" t="str">
        <f>+'[2]Planilla  2021'!$K11</f>
        <v>CABO DE HORNOS</v>
      </c>
      <c r="I20" s="95" t="s">
        <v>57</v>
      </c>
      <c r="J20" s="31">
        <f>+'[2]Planilla  2021'!$AW11</f>
        <v>1186275</v>
      </c>
      <c r="K20" s="31">
        <f>+'[2]Planilla  2021'!$AK11</f>
        <v>876710</v>
      </c>
      <c r="L20" s="76">
        <f>+'[2]Planilla  2021'!$BJ11</f>
        <v>0</v>
      </c>
      <c r="M20" s="80"/>
      <c r="N20" s="31">
        <v>134007</v>
      </c>
      <c r="O20" s="81"/>
      <c r="P20" s="80"/>
      <c r="Q20" s="31"/>
      <c r="R20" s="81"/>
      <c r="S20" s="80"/>
      <c r="T20" s="31"/>
      <c r="U20" s="81"/>
      <c r="V20" s="80"/>
      <c r="W20" s="31"/>
      <c r="X20" s="81"/>
      <c r="Y20" s="31">
        <f t="shared" si="2"/>
        <v>134007</v>
      </c>
      <c r="Z20" s="32">
        <v>309565</v>
      </c>
      <c r="AA20" s="39">
        <v>1</v>
      </c>
      <c r="AB20" s="34">
        <v>44207</v>
      </c>
      <c r="AC20" s="54">
        <v>44214</v>
      </c>
      <c r="AD20" s="60"/>
      <c r="AE20" s="40"/>
      <c r="AF20" s="34"/>
      <c r="AG20" s="63"/>
      <c r="AH20" s="60"/>
      <c r="AI20" s="40"/>
      <c r="AJ20" s="34"/>
      <c r="AK20" s="63"/>
      <c r="AL20" s="60"/>
      <c r="AM20" s="40"/>
      <c r="AN20" s="34"/>
      <c r="AO20" s="63"/>
      <c r="AP20" s="60"/>
      <c r="AQ20" s="40"/>
      <c r="AR20" s="34"/>
      <c r="AS20" s="63"/>
      <c r="AT20" s="37">
        <f t="shared" si="0"/>
        <v>309565</v>
      </c>
      <c r="AU20" s="38">
        <f t="shared" si="1"/>
        <v>175558</v>
      </c>
    </row>
    <row r="21" spans="2:47" s="26" customFormat="1" ht="22.5" x14ac:dyDescent="0.25">
      <c r="B21" s="27">
        <v>6</v>
      </c>
      <c r="C21" s="27" t="s">
        <v>39</v>
      </c>
      <c r="D21" s="50">
        <f>+'[2]Planilla  2021'!$D12</f>
        <v>30081565</v>
      </c>
      <c r="E21" s="29" t="str">
        <f>+'[2]Planilla  2021'!$E12</f>
        <v>CONSTRUCCION INFRAESTRUCTURA PORTUARIA BAHIA FILDES, ANTART CHILENA</v>
      </c>
      <c r="F21" s="51" t="str">
        <f>+'[2]Planilla  2021'!$G12</f>
        <v>Ejecución</v>
      </c>
      <c r="G21" s="30" t="s">
        <v>2291</v>
      </c>
      <c r="H21" s="30" t="str">
        <f>+'[2]Planilla  2021'!$K12</f>
        <v>INTERCOMUNAL</v>
      </c>
      <c r="I21" s="95" t="s">
        <v>72</v>
      </c>
      <c r="J21" s="31">
        <f>+'[2]Planilla  2021'!$AW12</f>
        <v>2545473</v>
      </c>
      <c r="K21" s="31">
        <f>+'[2]Planilla  2021'!$AK12</f>
        <v>0</v>
      </c>
      <c r="L21" s="76">
        <f>+'[2]Planilla  2021'!$BJ12</f>
        <v>2545473</v>
      </c>
      <c r="M21" s="80"/>
      <c r="N21" s="31"/>
      <c r="O21" s="81"/>
      <c r="P21" s="80"/>
      <c r="Q21" s="31"/>
      <c r="R21" s="81"/>
      <c r="S21" s="80"/>
      <c r="T21" s="31"/>
      <c r="U21" s="81"/>
      <c r="V21" s="80"/>
      <c r="W21" s="31"/>
      <c r="X21" s="81"/>
      <c r="Y21" s="31">
        <f t="shared" si="2"/>
        <v>0</v>
      </c>
      <c r="Z21" s="32">
        <v>2</v>
      </c>
      <c r="AA21" s="33">
        <v>1</v>
      </c>
      <c r="AB21" s="34">
        <v>44207</v>
      </c>
      <c r="AC21" s="54">
        <v>44214</v>
      </c>
      <c r="AD21" s="60"/>
      <c r="AE21" s="35"/>
      <c r="AF21" s="41"/>
      <c r="AG21" s="61"/>
      <c r="AH21" s="60"/>
      <c r="AI21" s="35"/>
      <c r="AJ21" s="41"/>
      <c r="AK21" s="61"/>
      <c r="AL21" s="60"/>
      <c r="AM21" s="35"/>
      <c r="AN21" s="41"/>
      <c r="AO21" s="61"/>
      <c r="AP21" s="60"/>
      <c r="AQ21" s="35"/>
      <c r="AR21" s="41"/>
      <c r="AS21" s="61"/>
      <c r="AT21" s="37">
        <f t="shared" si="0"/>
        <v>2</v>
      </c>
      <c r="AU21" s="38">
        <f t="shared" si="1"/>
        <v>2</v>
      </c>
    </row>
    <row r="22" spans="2:47" s="26" customFormat="1" ht="22.5" x14ac:dyDescent="0.25">
      <c r="B22" s="27">
        <v>7</v>
      </c>
      <c r="C22" s="27" t="s">
        <v>39</v>
      </c>
      <c r="D22" s="50">
        <f>+'[2]Planilla  2021'!$D13</f>
        <v>30116594</v>
      </c>
      <c r="E22" s="29" t="str">
        <f>+'[2]Planilla  2021'!$E13</f>
        <v>CONSTRUCCION CENTRO SUBANTÁRTICO CABO DE HORNOS (EJECUCIÓN)</v>
      </c>
      <c r="F22" s="51" t="str">
        <f>+'[2]Planilla  2021'!$G13</f>
        <v>Ejecución</v>
      </c>
      <c r="G22" s="30" t="s">
        <v>2291</v>
      </c>
      <c r="H22" s="30" t="str">
        <f>+'[2]Planilla  2021'!$K13</f>
        <v>CABO DE HORNOS</v>
      </c>
      <c r="I22" s="95" t="s">
        <v>57</v>
      </c>
      <c r="J22" s="31">
        <f>+'[2]Planilla  2021'!$AW13</f>
        <v>10789247</v>
      </c>
      <c r="K22" s="31">
        <f>+'[2]Planilla  2021'!$AK13</f>
        <v>9311872</v>
      </c>
      <c r="L22" s="76">
        <f>+'[2]Planilla  2021'!$BJ13</f>
        <v>2</v>
      </c>
      <c r="M22" s="80">
        <f>136171+65609</f>
        <v>201780</v>
      </c>
      <c r="N22" s="31"/>
      <c r="O22" s="81">
        <v>431945</v>
      </c>
      <c r="P22" s="80"/>
      <c r="Q22" s="31"/>
      <c r="R22" s="81"/>
      <c r="S22" s="80"/>
      <c r="T22" s="31"/>
      <c r="U22" s="81"/>
      <c r="V22" s="80"/>
      <c r="W22" s="31"/>
      <c r="X22" s="81"/>
      <c r="Y22" s="31">
        <f t="shared" si="2"/>
        <v>633725</v>
      </c>
      <c r="Z22" s="32">
        <v>1444864</v>
      </c>
      <c r="AA22" s="33">
        <v>1</v>
      </c>
      <c r="AB22" s="34">
        <v>44207</v>
      </c>
      <c r="AC22" s="54">
        <v>44214</v>
      </c>
      <c r="AD22" s="60"/>
      <c r="AE22" s="35"/>
      <c r="AF22" s="36"/>
      <c r="AG22" s="61"/>
      <c r="AH22" s="60"/>
      <c r="AI22" s="35"/>
      <c r="AJ22" s="36"/>
      <c r="AK22" s="61"/>
      <c r="AL22" s="60"/>
      <c r="AM22" s="35"/>
      <c r="AN22" s="36"/>
      <c r="AO22" s="61"/>
      <c r="AP22" s="60"/>
      <c r="AQ22" s="35"/>
      <c r="AR22" s="36"/>
      <c r="AS22" s="61"/>
      <c r="AT22" s="37">
        <f t="shared" si="0"/>
        <v>1444864</v>
      </c>
      <c r="AU22" s="38">
        <f t="shared" si="1"/>
        <v>811139</v>
      </c>
    </row>
    <row r="23" spans="2:47" s="26" customFormat="1" ht="22.5" x14ac:dyDescent="0.25">
      <c r="B23" s="27">
        <v>8</v>
      </c>
      <c r="C23" s="27" t="s">
        <v>39</v>
      </c>
      <c r="D23" s="50">
        <f>+'[2]Planilla  2021'!$D14</f>
        <v>30119213</v>
      </c>
      <c r="E23" s="29" t="str">
        <f>+'[2]Planilla  2021'!$E14</f>
        <v>AMPLIACION Y REMODELACION SEDE CLUB ESMERALDA, NATALES</v>
      </c>
      <c r="F23" s="51" t="str">
        <f>+'[2]Planilla  2021'!$G14</f>
        <v>Ejecución</v>
      </c>
      <c r="G23" s="30" t="s">
        <v>2291</v>
      </c>
      <c r="H23" s="30" t="str">
        <f>+'[2]Planilla  2021'!$K14</f>
        <v>NATALES</v>
      </c>
      <c r="I23" s="95" t="s">
        <v>57</v>
      </c>
      <c r="J23" s="31">
        <f>+'[2]Planilla  2021'!$AW14</f>
        <v>1499516</v>
      </c>
      <c r="K23" s="31">
        <f>+'[2]Planilla  2021'!$AK14</f>
        <v>1437110</v>
      </c>
      <c r="L23" s="76">
        <f>+'[2]Planilla  2021'!$BJ14</f>
        <v>0</v>
      </c>
      <c r="M23" s="80"/>
      <c r="N23" s="31"/>
      <c r="O23" s="81"/>
      <c r="P23" s="80"/>
      <c r="Q23" s="31"/>
      <c r="R23" s="81"/>
      <c r="S23" s="80"/>
      <c r="T23" s="31"/>
      <c r="U23" s="81"/>
      <c r="V23" s="80"/>
      <c r="W23" s="31"/>
      <c r="X23" s="81"/>
      <c r="Y23" s="31">
        <f t="shared" si="2"/>
        <v>0</v>
      </c>
      <c r="Z23" s="32">
        <v>56680</v>
      </c>
      <c r="AA23" s="33">
        <v>1</v>
      </c>
      <c r="AB23" s="34">
        <v>44207</v>
      </c>
      <c r="AC23" s="54">
        <v>44214</v>
      </c>
      <c r="AD23" s="60"/>
      <c r="AE23" s="35"/>
      <c r="AF23" s="36"/>
      <c r="AG23" s="61"/>
      <c r="AH23" s="60"/>
      <c r="AI23" s="35"/>
      <c r="AJ23" s="36"/>
      <c r="AK23" s="61"/>
      <c r="AL23" s="60"/>
      <c r="AM23" s="35"/>
      <c r="AN23" s="36"/>
      <c r="AO23" s="61"/>
      <c r="AP23" s="60"/>
      <c r="AQ23" s="35"/>
      <c r="AR23" s="36"/>
      <c r="AS23" s="61"/>
      <c r="AT23" s="37">
        <f t="shared" si="0"/>
        <v>56680</v>
      </c>
      <c r="AU23" s="38">
        <f t="shared" si="1"/>
        <v>56680</v>
      </c>
    </row>
    <row r="24" spans="2:47" s="26" customFormat="1" ht="23.25" customHeight="1" x14ac:dyDescent="0.25">
      <c r="B24" s="27">
        <v>9</v>
      </c>
      <c r="C24" s="27" t="s">
        <v>39</v>
      </c>
      <c r="D24" s="50">
        <f>+'[2]Planilla  2021'!$D15</f>
        <v>30125308</v>
      </c>
      <c r="E24" s="29" t="str">
        <f>+'[2]Planilla  2021'!$E15</f>
        <v>MEJORAMIENTO ESTANDAR URBANO CALLE 21 DE MAYO (MAGALLANES), P.ARENAS</v>
      </c>
      <c r="F24" s="51" t="str">
        <f>+'[2]Planilla  2021'!$G15</f>
        <v>Ejecución</v>
      </c>
      <c r="G24" s="30" t="s">
        <v>2291</v>
      </c>
      <c r="H24" s="30" t="str">
        <f>+'[2]Planilla  2021'!$K15</f>
        <v>PUNTA ARENAS</v>
      </c>
      <c r="I24" s="95" t="s">
        <v>57</v>
      </c>
      <c r="J24" s="31">
        <f>+'[2]Planilla  2021'!$AW15</f>
        <v>2013223</v>
      </c>
      <c r="K24" s="31">
        <f>+'[2]Planilla  2021'!$AK15</f>
        <v>1587709</v>
      </c>
      <c r="L24" s="76">
        <f>+'[2]Planilla  2021'!$BJ15</f>
        <v>0</v>
      </c>
      <c r="M24" s="80"/>
      <c r="N24" s="31">
        <v>1800</v>
      </c>
      <c r="O24" s="81"/>
      <c r="P24" s="80"/>
      <c r="Q24" s="31"/>
      <c r="R24" s="81"/>
      <c r="S24" s="80"/>
      <c r="T24" s="31"/>
      <c r="U24" s="81"/>
      <c r="V24" s="80"/>
      <c r="W24" s="31"/>
      <c r="X24" s="81"/>
      <c r="Y24" s="31">
        <f t="shared" si="2"/>
        <v>1800</v>
      </c>
      <c r="Z24" s="32">
        <v>1800</v>
      </c>
      <c r="AA24" s="33">
        <v>1</v>
      </c>
      <c r="AB24" s="34">
        <v>44207</v>
      </c>
      <c r="AC24" s="54">
        <v>44214</v>
      </c>
      <c r="AD24" s="60"/>
      <c r="AE24" s="35"/>
      <c r="AF24" s="36"/>
      <c r="AG24" s="61"/>
      <c r="AH24" s="60"/>
      <c r="AI24" s="35"/>
      <c r="AJ24" s="36"/>
      <c r="AK24" s="61"/>
      <c r="AL24" s="60"/>
      <c r="AM24" s="35"/>
      <c r="AN24" s="36"/>
      <c r="AO24" s="61"/>
      <c r="AP24" s="60"/>
      <c r="AQ24" s="35"/>
      <c r="AR24" s="36"/>
      <c r="AS24" s="61"/>
      <c r="AT24" s="37">
        <f t="shared" si="0"/>
        <v>1800</v>
      </c>
      <c r="AU24" s="38">
        <f t="shared" si="1"/>
        <v>0</v>
      </c>
    </row>
    <row r="25" spans="2:47" s="26" customFormat="1" ht="22.5" x14ac:dyDescent="0.25">
      <c r="B25" s="27">
        <v>10</v>
      </c>
      <c r="C25" s="27" t="s">
        <v>39</v>
      </c>
      <c r="D25" s="50">
        <f>+'[2]Planilla  2021'!$D16</f>
        <v>30130471</v>
      </c>
      <c r="E25" s="29" t="str">
        <f>+'[2]Planilla  2021'!$E16</f>
        <v>MEJORAMIENTO Y CONSERVACION PLAZA BENJA MUÑOZ GAMERO,PUNTA ARENAS</v>
      </c>
      <c r="F25" s="51" t="str">
        <f>+'[2]Planilla  2021'!$G16</f>
        <v>Ejecución</v>
      </c>
      <c r="G25" s="30" t="s">
        <v>2291</v>
      </c>
      <c r="H25" s="30" t="str">
        <f>+'[2]Planilla  2021'!$K16</f>
        <v>PUNTA ARENAS</v>
      </c>
      <c r="I25" s="95" t="s">
        <v>57</v>
      </c>
      <c r="J25" s="31">
        <f>+'[2]Planilla  2021'!$AW16</f>
        <v>987306</v>
      </c>
      <c r="K25" s="31">
        <f>+'[2]Planilla  2021'!$AK16</f>
        <v>0</v>
      </c>
      <c r="L25" s="76">
        <f>+'[2]Planilla  2021'!$BJ16</f>
        <v>325867</v>
      </c>
      <c r="M25" s="80"/>
      <c r="N25" s="31"/>
      <c r="O25" s="81"/>
      <c r="P25" s="80"/>
      <c r="Q25" s="31"/>
      <c r="R25" s="81"/>
      <c r="S25" s="80"/>
      <c r="T25" s="31"/>
      <c r="U25" s="81"/>
      <c r="V25" s="80"/>
      <c r="W25" s="31"/>
      <c r="X25" s="81"/>
      <c r="Y25" s="31">
        <f t="shared" si="2"/>
        <v>0</v>
      </c>
      <c r="Z25" s="32">
        <v>1234</v>
      </c>
      <c r="AA25" s="33">
        <v>1</v>
      </c>
      <c r="AB25" s="34">
        <v>44207</v>
      </c>
      <c r="AC25" s="54">
        <v>44214</v>
      </c>
      <c r="AD25" s="60"/>
      <c r="AE25" s="35"/>
      <c r="AF25" s="36"/>
      <c r="AG25" s="61"/>
      <c r="AH25" s="60"/>
      <c r="AI25" s="35"/>
      <c r="AJ25" s="36"/>
      <c r="AK25" s="61"/>
      <c r="AL25" s="60"/>
      <c r="AM25" s="35"/>
      <c r="AN25" s="36"/>
      <c r="AO25" s="61"/>
      <c r="AP25" s="60"/>
      <c r="AQ25" s="35"/>
      <c r="AR25" s="36"/>
      <c r="AS25" s="61"/>
      <c r="AT25" s="37">
        <f t="shared" si="0"/>
        <v>1234</v>
      </c>
      <c r="AU25" s="38">
        <f t="shared" si="1"/>
        <v>1234</v>
      </c>
    </row>
    <row r="26" spans="2:47" s="26" customFormat="1" ht="22.5" x14ac:dyDescent="0.25">
      <c r="B26" s="27">
        <v>11</v>
      </c>
      <c r="C26" s="27" t="s">
        <v>39</v>
      </c>
      <c r="D26" s="50">
        <f>+'[2]Planilla  2021'!$D17</f>
        <v>30137224</v>
      </c>
      <c r="E26" s="29" t="str">
        <f>+'[2]Planilla  2021'!$E17</f>
        <v>CONSTRUCCION INFRAEST. PORTUARIA MULTIPROPOSITO PUERTO WILLIAMS</v>
      </c>
      <c r="F26" s="51" t="str">
        <f>+'[2]Planilla  2021'!$G17</f>
        <v>Ejecución</v>
      </c>
      <c r="G26" s="30" t="s">
        <v>2291</v>
      </c>
      <c r="H26" s="30" t="str">
        <f>+'[2]Planilla  2021'!$K17</f>
        <v>CABO DE HORNOS</v>
      </c>
      <c r="I26" s="95" t="s">
        <v>57</v>
      </c>
      <c r="J26" s="31">
        <f>+'[2]Planilla  2021'!$AW17</f>
        <v>18470253</v>
      </c>
      <c r="K26" s="31">
        <f>+'[2]Planilla  2021'!$AK17</f>
        <v>44722</v>
      </c>
      <c r="L26" s="76">
        <f>+'[2]Planilla  2021'!$BJ17</f>
        <v>13235531</v>
      </c>
      <c r="M26" s="80"/>
      <c r="N26" s="31"/>
      <c r="O26" s="81"/>
      <c r="P26" s="80"/>
      <c r="Q26" s="31"/>
      <c r="R26" s="81"/>
      <c r="S26" s="80"/>
      <c r="T26" s="31"/>
      <c r="U26" s="81"/>
      <c r="V26" s="80"/>
      <c r="W26" s="31"/>
      <c r="X26" s="81"/>
      <c r="Y26" s="31">
        <f t="shared" si="2"/>
        <v>0</v>
      </c>
      <c r="Z26" s="32">
        <f>534040</f>
        <v>534040</v>
      </c>
      <c r="AA26" s="33">
        <v>1</v>
      </c>
      <c r="AB26" s="34">
        <v>44207</v>
      </c>
      <c r="AC26" s="54">
        <v>44214</v>
      </c>
      <c r="AD26" s="60">
        <f>91960</f>
        <v>91960</v>
      </c>
      <c r="AE26" s="35">
        <v>3</v>
      </c>
      <c r="AF26" s="61">
        <v>44217</v>
      </c>
      <c r="AG26" s="61">
        <v>44221</v>
      </c>
      <c r="AH26" s="60"/>
      <c r="AI26" s="35"/>
      <c r="AJ26" s="52"/>
      <c r="AK26" s="61"/>
      <c r="AL26" s="60"/>
      <c r="AM26" s="35"/>
      <c r="AN26" s="52"/>
      <c r="AO26" s="61"/>
      <c r="AP26" s="60"/>
      <c r="AQ26" s="35"/>
      <c r="AR26" s="52"/>
      <c r="AS26" s="61"/>
      <c r="AT26" s="37">
        <f t="shared" ref="AT26:AT89" si="3">+Z26+AD26+AH26+AL26+AP26</f>
        <v>626000</v>
      </c>
      <c r="AU26" s="38">
        <f t="shared" ref="AU26:AU89" si="4">+AT26-Y26</f>
        <v>626000</v>
      </c>
    </row>
    <row r="27" spans="2:47" s="26" customFormat="1" ht="22.5" x14ac:dyDescent="0.25">
      <c r="B27" s="27">
        <v>12</v>
      </c>
      <c r="C27" s="27" t="s">
        <v>39</v>
      </c>
      <c r="D27" s="50">
        <f>+'[2]Planilla  2021'!$D18</f>
        <v>30179022</v>
      </c>
      <c r="E27" s="29" t="str">
        <f>+'[2]Planilla  2021'!$E18</f>
        <v>CONSTRUCCION PISCINA TERAPEUT. CRUZ DEL SUR PORVENIR</v>
      </c>
      <c r="F27" s="51" t="str">
        <f>+'[2]Planilla  2021'!$G18</f>
        <v>Ejecución</v>
      </c>
      <c r="G27" s="30" t="s">
        <v>2291</v>
      </c>
      <c r="H27" s="30" t="str">
        <f>+'[2]Planilla  2021'!$K18</f>
        <v>PORVENIR</v>
      </c>
      <c r="I27" s="95" t="s">
        <v>57</v>
      </c>
      <c r="J27" s="31">
        <f>+'[2]Planilla  2021'!$AW18</f>
        <v>624401</v>
      </c>
      <c r="K27" s="31">
        <f>+'[2]Planilla  2021'!$AK18</f>
        <v>0</v>
      </c>
      <c r="L27" s="76">
        <f>+'[2]Planilla  2021'!$BJ18</f>
        <v>193136</v>
      </c>
      <c r="M27" s="80"/>
      <c r="N27" s="31"/>
      <c r="O27" s="81"/>
      <c r="P27" s="80"/>
      <c r="Q27" s="31"/>
      <c r="R27" s="81"/>
      <c r="S27" s="80"/>
      <c r="T27" s="31"/>
      <c r="U27" s="81"/>
      <c r="V27" s="80"/>
      <c r="W27" s="31"/>
      <c r="X27" s="81"/>
      <c r="Y27" s="31">
        <f t="shared" si="2"/>
        <v>0</v>
      </c>
      <c r="Z27" s="32">
        <v>4</v>
      </c>
      <c r="AA27" s="33">
        <v>1</v>
      </c>
      <c r="AB27" s="34">
        <v>44207</v>
      </c>
      <c r="AC27" s="54">
        <v>44214</v>
      </c>
      <c r="AD27" s="60"/>
      <c r="AE27" s="35"/>
      <c r="AF27" s="36"/>
      <c r="AG27" s="61"/>
      <c r="AH27" s="60"/>
      <c r="AI27" s="35"/>
      <c r="AJ27" s="36"/>
      <c r="AK27" s="61"/>
      <c r="AL27" s="60"/>
      <c r="AM27" s="35"/>
      <c r="AN27" s="36"/>
      <c r="AO27" s="61"/>
      <c r="AP27" s="60"/>
      <c r="AQ27" s="35"/>
      <c r="AR27" s="36"/>
      <c r="AS27" s="61"/>
      <c r="AT27" s="37">
        <f t="shared" si="3"/>
        <v>4</v>
      </c>
      <c r="AU27" s="38">
        <f t="shared" si="4"/>
        <v>4</v>
      </c>
    </row>
    <row r="28" spans="2:47" s="26" customFormat="1" ht="22.5" x14ac:dyDescent="0.25">
      <c r="B28" s="27">
        <v>13</v>
      </c>
      <c r="C28" s="27" t="s">
        <v>39</v>
      </c>
      <c r="D28" s="50">
        <f>+'[2]Planilla  2021'!$D19</f>
        <v>30187822</v>
      </c>
      <c r="E28" s="29" t="str">
        <f>+'[2]Planilla  2021'!$E19</f>
        <v>CONSTRUCCION SEDE SOCIAL JUNTA DE VECINOS LLAU LLAU, PUNTA ARENAS</v>
      </c>
      <c r="F28" s="51" t="str">
        <f>+'[2]Planilla  2021'!$G19</f>
        <v>Ejecución</v>
      </c>
      <c r="G28" s="30" t="s">
        <v>2291</v>
      </c>
      <c r="H28" s="30" t="str">
        <f>+'[2]Planilla  2021'!$K19</f>
        <v>PUNTA ARENAS</v>
      </c>
      <c r="I28" s="95" t="s">
        <v>57</v>
      </c>
      <c r="J28" s="31">
        <f>+'[2]Planilla  2021'!$AW19</f>
        <v>303134</v>
      </c>
      <c r="K28" s="31">
        <f>+'[2]Planilla  2021'!$AK19</f>
        <v>0</v>
      </c>
      <c r="L28" s="76">
        <f>+'[2]Planilla  2021'!$BJ19</f>
        <v>0</v>
      </c>
      <c r="M28" s="80"/>
      <c r="N28" s="31"/>
      <c r="O28" s="81"/>
      <c r="P28" s="80"/>
      <c r="Q28" s="31"/>
      <c r="R28" s="81"/>
      <c r="S28" s="80"/>
      <c r="T28" s="31"/>
      <c r="U28" s="81"/>
      <c r="V28" s="80"/>
      <c r="W28" s="31"/>
      <c r="X28" s="81"/>
      <c r="Y28" s="31">
        <f t="shared" si="2"/>
        <v>0</v>
      </c>
      <c r="Z28" s="32">
        <f>1503</f>
        <v>1503</v>
      </c>
      <c r="AA28" s="33">
        <v>1</v>
      </c>
      <c r="AB28" s="34">
        <v>44207</v>
      </c>
      <c r="AC28" s="54">
        <v>44214</v>
      </c>
      <c r="AD28" s="60"/>
      <c r="AE28" s="35"/>
      <c r="AF28" s="36"/>
      <c r="AG28" s="61"/>
      <c r="AH28" s="60">
        <f>50000</f>
        <v>50000</v>
      </c>
      <c r="AI28" s="35">
        <v>9</v>
      </c>
      <c r="AJ28" s="61">
        <v>44244</v>
      </c>
      <c r="AK28" s="61">
        <v>44249</v>
      </c>
      <c r="AL28" s="60"/>
      <c r="AM28" s="35"/>
      <c r="AN28" s="36"/>
      <c r="AO28" s="61"/>
      <c r="AP28" s="60"/>
      <c r="AQ28" s="35"/>
      <c r="AR28" s="36"/>
      <c r="AS28" s="61"/>
      <c r="AT28" s="37">
        <f t="shared" si="3"/>
        <v>51503</v>
      </c>
      <c r="AU28" s="38">
        <f t="shared" si="4"/>
        <v>51503</v>
      </c>
    </row>
    <row r="29" spans="2:47" s="26" customFormat="1" ht="22.5" x14ac:dyDescent="0.25">
      <c r="B29" s="27">
        <v>14</v>
      </c>
      <c r="C29" s="27" t="s">
        <v>39</v>
      </c>
      <c r="D29" s="50">
        <f>+'[2]Planilla  2021'!$D20</f>
        <v>30255172</v>
      </c>
      <c r="E29" s="29" t="str">
        <f>+'[2]Planilla  2021'!$E20</f>
        <v>REPOSICION BIBLIOTECA MUNICIPAL N° 114 COMUNA DE PUNTA ARENAS</v>
      </c>
      <c r="F29" s="51" t="str">
        <f>+'[2]Planilla  2021'!$G20</f>
        <v>Ejecución</v>
      </c>
      <c r="G29" s="30" t="s">
        <v>2291</v>
      </c>
      <c r="H29" s="30" t="str">
        <f>+'[2]Planilla  2021'!$K20</f>
        <v>PUNTA ARENAS</v>
      </c>
      <c r="I29" s="95" t="s">
        <v>57</v>
      </c>
      <c r="J29" s="31">
        <f>+'[2]Planilla  2021'!$AW20</f>
        <v>2533253</v>
      </c>
      <c r="K29" s="31">
        <f>+'[2]Planilla  2021'!$AK20</f>
        <v>1431672</v>
      </c>
      <c r="L29" s="76">
        <f>+'[2]Planilla  2021'!$BJ20</f>
        <v>0</v>
      </c>
      <c r="M29" s="80">
        <v>60404</v>
      </c>
      <c r="N29" s="31">
        <v>103556</v>
      </c>
      <c r="O29" s="81"/>
      <c r="P29" s="80"/>
      <c r="Q29" s="31"/>
      <c r="R29" s="81"/>
      <c r="S29" s="80"/>
      <c r="T29" s="31"/>
      <c r="U29" s="81"/>
      <c r="V29" s="80"/>
      <c r="W29" s="31"/>
      <c r="X29" s="81"/>
      <c r="Y29" s="31">
        <f t="shared" si="2"/>
        <v>163960</v>
      </c>
      <c r="Z29" s="32">
        <f>629363</f>
        <v>629363</v>
      </c>
      <c r="AA29" s="33">
        <v>1</v>
      </c>
      <c r="AB29" s="34">
        <v>44207</v>
      </c>
      <c r="AC29" s="54">
        <v>44214</v>
      </c>
      <c r="AD29" s="60"/>
      <c r="AE29" s="35"/>
      <c r="AF29" s="36"/>
      <c r="AG29" s="61"/>
      <c r="AH29" s="60"/>
      <c r="AI29" s="35"/>
      <c r="AJ29" s="36"/>
      <c r="AK29" s="61"/>
      <c r="AL29" s="60">
        <f>150000</f>
        <v>150000</v>
      </c>
      <c r="AM29" s="35">
        <v>13</v>
      </c>
      <c r="AN29" s="61">
        <v>44277</v>
      </c>
      <c r="AO29" s="61">
        <v>44281</v>
      </c>
      <c r="AP29" s="60"/>
      <c r="AQ29" s="35"/>
      <c r="AR29" s="36"/>
      <c r="AS29" s="61"/>
      <c r="AT29" s="37">
        <f t="shared" si="3"/>
        <v>779363</v>
      </c>
      <c r="AU29" s="38">
        <f t="shared" si="4"/>
        <v>615403</v>
      </c>
    </row>
    <row r="30" spans="2:47" s="26" customFormat="1" ht="22.5" x14ac:dyDescent="0.25">
      <c r="B30" s="27">
        <v>15</v>
      </c>
      <c r="C30" s="27" t="s">
        <v>39</v>
      </c>
      <c r="D30" s="50">
        <f>+'[2]Planilla  2021'!$D21</f>
        <v>30310124</v>
      </c>
      <c r="E30" s="29" t="str">
        <f>+'[2]Planilla  2021'!$E21</f>
        <v>MEJORAMIENTO RUTA Y-65, PORVENIR-MANANTIALES, ETAPA I, T.DEL FUEGO</v>
      </c>
      <c r="F30" s="51" t="str">
        <f>+'[2]Planilla  2021'!$G21</f>
        <v>Ejecución</v>
      </c>
      <c r="G30" s="30" t="s">
        <v>2291</v>
      </c>
      <c r="H30" s="30" t="str">
        <f>+'[2]Planilla  2021'!$K21</f>
        <v>INTERCOMUNAL</v>
      </c>
      <c r="I30" s="95" t="s">
        <v>57</v>
      </c>
      <c r="J30" s="31">
        <f>+'[2]Planilla  2021'!$AW21</f>
        <v>102196109</v>
      </c>
      <c r="K30" s="31">
        <f>+'[2]Planilla  2021'!$AK21</f>
        <v>59330605</v>
      </c>
      <c r="L30" s="76">
        <f>+'[2]Planilla  2021'!$BJ21</f>
        <v>0</v>
      </c>
      <c r="M30" s="80">
        <v>403443</v>
      </c>
      <c r="N30" s="31">
        <v>681346</v>
      </c>
      <c r="O30" s="81">
        <v>740125</v>
      </c>
      <c r="P30" s="80"/>
      <c r="Q30" s="31"/>
      <c r="R30" s="81"/>
      <c r="S30" s="80"/>
      <c r="T30" s="31"/>
      <c r="U30" s="81"/>
      <c r="V30" s="80"/>
      <c r="W30" s="31"/>
      <c r="X30" s="81"/>
      <c r="Y30" s="31">
        <f t="shared" si="2"/>
        <v>1824914</v>
      </c>
      <c r="Z30" s="32">
        <v>2563060</v>
      </c>
      <c r="AA30" s="33">
        <v>1</v>
      </c>
      <c r="AB30" s="34">
        <v>44207</v>
      </c>
      <c r="AC30" s="54">
        <v>44214</v>
      </c>
      <c r="AD30" s="60"/>
      <c r="AE30" s="35"/>
      <c r="AF30" s="36"/>
      <c r="AG30" s="61"/>
      <c r="AH30" s="60"/>
      <c r="AI30" s="35"/>
      <c r="AJ30" s="36"/>
      <c r="AK30" s="61"/>
      <c r="AL30" s="60"/>
      <c r="AM30" s="35"/>
      <c r="AN30" s="36"/>
      <c r="AO30" s="61"/>
      <c r="AP30" s="60"/>
      <c r="AQ30" s="35"/>
      <c r="AR30" s="36"/>
      <c r="AS30" s="61"/>
      <c r="AT30" s="37">
        <f t="shared" si="3"/>
        <v>2563060</v>
      </c>
      <c r="AU30" s="38">
        <f t="shared" si="4"/>
        <v>738146</v>
      </c>
    </row>
    <row r="31" spans="2:47" s="26" customFormat="1" ht="22.5" x14ac:dyDescent="0.25">
      <c r="B31" s="27">
        <v>16</v>
      </c>
      <c r="C31" s="27" t="s">
        <v>39</v>
      </c>
      <c r="D31" s="50">
        <f>+'[2]Planilla  2021'!$D22</f>
        <v>30380938</v>
      </c>
      <c r="E31" s="29" t="str">
        <f>+'[2]Planilla  2021'!$E22</f>
        <v>CONSTRUCCION CANCHA DE PASTO SINTÉTICO DE FÚTBOL INFANTIL, NATALES</v>
      </c>
      <c r="F31" s="51" t="str">
        <f>+'[2]Planilla  2021'!$G22</f>
        <v>Ejecución</v>
      </c>
      <c r="G31" s="30" t="s">
        <v>2291</v>
      </c>
      <c r="H31" s="30" t="str">
        <f>+'[2]Planilla  2021'!$K22</f>
        <v>NATALES</v>
      </c>
      <c r="I31" s="95" t="s">
        <v>57</v>
      </c>
      <c r="J31" s="31">
        <f>+'[2]Planilla  2021'!$AW22</f>
        <v>601717</v>
      </c>
      <c r="K31" s="31">
        <f>+'[2]Planilla  2021'!$AK22</f>
        <v>443308</v>
      </c>
      <c r="L31" s="76">
        <f>+'[2]Planilla  2021'!$BJ22</f>
        <v>32690</v>
      </c>
      <c r="M31" s="80"/>
      <c r="N31" s="31">
        <v>28909</v>
      </c>
      <c r="O31" s="81"/>
      <c r="P31" s="80"/>
      <c r="Q31" s="31"/>
      <c r="R31" s="81"/>
      <c r="S31" s="80"/>
      <c r="T31" s="31"/>
      <c r="U31" s="81"/>
      <c r="V31" s="80"/>
      <c r="W31" s="31"/>
      <c r="X31" s="81"/>
      <c r="Y31" s="31">
        <f t="shared" si="2"/>
        <v>28909</v>
      </c>
      <c r="Z31" s="32">
        <v>100859</v>
      </c>
      <c r="AA31" s="33">
        <v>1</v>
      </c>
      <c r="AB31" s="34">
        <v>44207</v>
      </c>
      <c r="AC31" s="54">
        <v>44214</v>
      </c>
      <c r="AD31" s="60"/>
      <c r="AE31" s="35"/>
      <c r="AF31" s="36"/>
      <c r="AG31" s="61"/>
      <c r="AH31" s="60"/>
      <c r="AI31" s="35"/>
      <c r="AJ31" s="36"/>
      <c r="AK31" s="61"/>
      <c r="AL31" s="60"/>
      <c r="AM31" s="35"/>
      <c r="AN31" s="36"/>
      <c r="AO31" s="61"/>
      <c r="AP31" s="60"/>
      <c r="AQ31" s="35"/>
      <c r="AR31" s="36"/>
      <c r="AS31" s="61"/>
      <c r="AT31" s="37">
        <f t="shared" si="3"/>
        <v>100859</v>
      </c>
      <c r="AU31" s="38">
        <f t="shared" si="4"/>
        <v>71950</v>
      </c>
    </row>
    <row r="32" spans="2:47" s="26" customFormat="1" ht="22.5" x14ac:dyDescent="0.25">
      <c r="B32" s="27">
        <v>17</v>
      </c>
      <c r="C32" s="27" t="s">
        <v>39</v>
      </c>
      <c r="D32" s="50">
        <f>+'[2]Planilla  2021'!$D23</f>
        <v>30400822</v>
      </c>
      <c r="E32" s="29" t="str">
        <f>+'[2]Planilla  2021'!$E23</f>
        <v>MEJORAMIENTO CALLE LAS HERAS (VERGARA-COSTANERA), PUNTA ARENAS</v>
      </c>
      <c r="F32" s="51" t="str">
        <f>+'[2]Planilla  2021'!$G23</f>
        <v>Ejecución</v>
      </c>
      <c r="G32" s="30" t="s">
        <v>2291</v>
      </c>
      <c r="H32" s="30" t="str">
        <f>+'[2]Planilla  2021'!$K23</f>
        <v>PUNTA ARENAS</v>
      </c>
      <c r="I32" s="95" t="s">
        <v>57</v>
      </c>
      <c r="J32" s="31">
        <f>+'[2]Planilla  2021'!$AW23</f>
        <v>925709</v>
      </c>
      <c r="K32" s="31">
        <f>+'[2]Planilla  2021'!$AK23</f>
        <v>261205</v>
      </c>
      <c r="L32" s="76">
        <f>+'[2]Planilla  2021'!$BJ23</f>
        <v>590</v>
      </c>
      <c r="M32" s="80">
        <v>200000</v>
      </c>
      <c r="N32" s="31">
        <v>249998</v>
      </c>
      <c r="O32" s="81">
        <v>10080</v>
      </c>
      <c r="P32" s="80"/>
      <c r="Q32" s="31"/>
      <c r="R32" s="81"/>
      <c r="S32" s="80"/>
      <c r="T32" s="31"/>
      <c r="U32" s="81"/>
      <c r="V32" s="80"/>
      <c r="W32" s="31"/>
      <c r="X32" s="81"/>
      <c r="Y32" s="31">
        <f t="shared" si="2"/>
        <v>460078</v>
      </c>
      <c r="Z32" s="32">
        <v>542282</v>
      </c>
      <c r="AA32" s="33">
        <v>1</v>
      </c>
      <c r="AB32" s="34">
        <v>44207</v>
      </c>
      <c r="AC32" s="54">
        <v>44214</v>
      </c>
      <c r="AD32" s="60"/>
      <c r="AE32" s="35"/>
      <c r="AF32" s="36"/>
      <c r="AG32" s="61"/>
      <c r="AH32" s="60"/>
      <c r="AI32" s="35"/>
      <c r="AJ32" s="36"/>
      <c r="AK32" s="61"/>
      <c r="AL32" s="60"/>
      <c r="AM32" s="35"/>
      <c r="AN32" s="36"/>
      <c r="AO32" s="61"/>
      <c r="AP32" s="60"/>
      <c r="AQ32" s="35"/>
      <c r="AR32" s="36"/>
      <c r="AS32" s="61"/>
      <c r="AT32" s="37">
        <f t="shared" si="3"/>
        <v>542282</v>
      </c>
      <c r="AU32" s="38">
        <f t="shared" si="4"/>
        <v>82204</v>
      </c>
    </row>
    <row r="33" spans="2:47" s="26" customFormat="1" ht="22.5" x14ac:dyDescent="0.25">
      <c r="B33" s="27">
        <v>18</v>
      </c>
      <c r="C33" s="27" t="s">
        <v>39</v>
      </c>
      <c r="D33" s="50">
        <f>+'[2]Planilla  2021'!$D24</f>
        <v>30406024</v>
      </c>
      <c r="E33" s="29" t="str">
        <f>+'[2]Planilla  2021'!$E24</f>
        <v>MEJORAMIENTO RUTA DE NAVEGACION CANAL KIRKE, ULTIMA ESPERANZA (DISEÑO)</v>
      </c>
      <c r="F33" s="51" t="str">
        <f>+'[2]Planilla  2021'!$G24</f>
        <v>Diseño</v>
      </c>
      <c r="G33" s="30" t="s">
        <v>2291</v>
      </c>
      <c r="H33" s="30" t="str">
        <f>+'[2]Planilla  2021'!$K24</f>
        <v>INTERCOMUNAL</v>
      </c>
      <c r="I33" s="95" t="s">
        <v>57</v>
      </c>
      <c r="J33" s="31">
        <f>+'[2]Planilla  2021'!$AW24</f>
        <v>812153</v>
      </c>
      <c r="K33" s="31">
        <f>+'[2]Planilla  2021'!$AK24</f>
        <v>750803</v>
      </c>
      <c r="L33" s="76">
        <f>+'[2]Planilla  2021'!$BJ24</f>
        <v>0</v>
      </c>
      <c r="M33" s="80"/>
      <c r="N33" s="31"/>
      <c r="O33" s="81"/>
      <c r="P33" s="80"/>
      <c r="Q33" s="31"/>
      <c r="R33" s="81"/>
      <c r="S33" s="80"/>
      <c r="T33" s="31"/>
      <c r="U33" s="81"/>
      <c r="V33" s="80"/>
      <c r="W33" s="31"/>
      <c r="X33" s="81"/>
      <c r="Y33" s="31">
        <f t="shared" si="2"/>
        <v>0</v>
      </c>
      <c r="Z33" s="32">
        <v>44021</v>
      </c>
      <c r="AA33" s="33">
        <v>1</v>
      </c>
      <c r="AB33" s="34">
        <v>44207</v>
      </c>
      <c r="AC33" s="54">
        <v>44214</v>
      </c>
      <c r="AD33" s="60"/>
      <c r="AE33" s="35"/>
      <c r="AF33" s="36"/>
      <c r="AG33" s="61"/>
      <c r="AH33" s="60"/>
      <c r="AI33" s="35"/>
      <c r="AJ33" s="36"/>
      <c r="AK33" s="61"/>
      <c r="AL33" s="60"/>
      <c r="AM33" s="35"/>
      <c r="AN33" s="36"/>
      <c r="AO33" s="61"/>
      <c r="AP33" s="60"/>
      <c r="AQ33" s="35"/>
      <c r="AR33" s="36"/>
      <c r="AS33" s="61"/>
      <c r="AT33" s="37">
        <f t="shared" si="3"/>
        <v>44021</v>
      </c>
      <c r="AU33" s="38">
        <f t="shared" si="4"/>
        <v>44021</v>
      </c>
    </row>
    <row r="34" spans="2:47" s="26" customFormat="1" ht="22.5" x14ac:dyDescent="0.25">
      <c r="B34" s="27">
        <v>19</v>
      </c>
      <c r="C34" s="27" t="s">
        <v>39</v>
      </c>
      <c r="D34" s="50">
        <f>+'[2]Planilla  2021'!$D25</f>
        <v>30447940</v>
      </c>
      <c r="E34" s="29" t="str">
        <f>+'[2]Planilla  2021'!$E25</f>
        <v>CONSTRUCCION MONUMENTO PILOTO PARDO, PUNTA ARENAS</v>
      </c>
      <c r="F34" s="51" t="str">
        <f>+'[2]Planilla  2021'!$G25</f>
        <v>Ejecución</v>
      </c>
      <c r="G34" s="30" t="s">
        <v>2291</v>
      </c>
      <c r="H34" s="30" t="str">
        <f>+'[2]Planilla  2021'!$K25</f>
        <v>PUNTA ARENAS</v>
      </c>
      <c r="I34" s="95" t="s">
        <v>57</v>
      </c>
      <c r="J34" s="31">
        <f>+'[2]Planilla  2021'!$AW25</f>
        <v>624577</v>
      </c>
      <c r="K34" s="31">
        <f>+'[2]Planilla  2021'!$AK25</f>
        <v>594365</v>
      </c>
      <c r="L34" s="76">
        <f>+'[2]Planilla  2021'!$BJ25</f>
        <v>0</v>
      </c>
      <c r="M34" s="80"/>
      <c r="N34" s="31">
        <v>27554</v>
      </c>
      <c r="O34" s="81"/>
      <c r="P34" s="80"/>
      <c r="Q34" s="31"/>
      <c r="R34" s="81"/>
      <c r="S34" s="80"/>
      <c r="T34" s="31"/>
      <c r="U34" s="81"/>
      <c r="V34" s="80"/>
      <c r="W34" s="31"/>
      <c r="X34" s="81"/>
      <c r="Y34" s="31">
        <f t="shared" si="2"/>
        <v>27554</v>
      </c>
      <c r="Z34" s="32">
        <v>27554</v>
      </c>
      <c r="AA34" s="33">
        <v>1</v>
      </c>
      <c r="AB34" s="34">
        <v>44207</v>
      </c>
      <c r="AC34" s="54">
        <v>44214</v>
      </c>
      <c r="AD34" s="60"/>
      <c r="AE34" s="35"/>
      <c r="AF34" s="36"/>
      <c r="AG34" s="61"/>
      <c r="AH34" s="60"/>
      <c r="AI34" s="35"/>
      <c r="AJ34" s="36"/>
      <c r="AK34" s="61"/>
      <c r="AL34" s="60"/>
      <c r="AM34" s="35"/>
      <c r="AN34" s="36"/>
      <c r="AO34" s="61"/>
      <c r="AP34" s="60"/>
      <c r="AQ34" s="35"/>
      <c r="AR34" s="36"/>
      <c r="AS34" s="61"/>
      <c r="AT34" s="37">
        <f t="shared" si="3"/>
        <v>27554</v>
      </c>
      <c r="AU34" s="38">
        <f t="shared" si="4"/>
        <v>0</v>
      </c>
    </row>
    <row r="35" spans="2:47" s="26" customFormat="1" ht="22.5" x14ac:dyDescent="0.25">
      <c r="B35" s="27">
        <v>20</v>
      </c>
      <c r="C35" s="27" t="s">
        <v>39</v>
      </c>
      <c r="D35" s="50">
        <f>+'[2]Planilla  2021'!$D26</f>
        <v>30452024</v>
      </c>
      <c r="E35" s="29" t="str">
        <f>+'[2]Planilla  2021'!$E26</f>
        <v>CONSTRUCCION ENERGIZACION RURAL, SECTOR ANDINO, PUNTA ARENAS</v>
      </c>
      <c r="F35" s="51" t="str">
        <f>+'[2]Planilla  2021'!$G26</f>
        <v>Ejecución</v>
      </c>
      <c r="G35" s="30" t="s">
        <v>2291</v>
      </c>
      <c r="H35" s="30" t="str">
        <f>+'[2]Planilla  2021'!$K26</f>
        <v>PUNTA ARENAS</v>
      </c>
      <c r="I35" s="95" t="s">
        <v>57</v>
      </c>
      <c r="J35" s="31">
        <f>+'[2]Planilla  2021'!$AW26</f>
        <v>82460</v>
      </c>
      <c r="K35" s="31">
        <f>+'[2]Planilla  2021'!$AK26</f>
        <v>39007</v>
      </c>
      <c r="L35" s="76">
        <f>+'[2]Planilla  2021'!$BJ26</f>
        <v>0</v>
      </c>
      <c r="M35" s="80"/>
      <c r="N35" s="31"/>
      <c r="O35" s="81"/>
      <c r="P35" s="80"/>
      <c r="Q35" s="31"/>
      <c r="R35" s="81"/>
      <c r="S35" s="80"/>
      <c r="T35" s="31"/>
      <c r="U35" s="81"/>
      <c r="V35" s="80"/>
      <c r="W35" s="31"/>
      <c r="X35" s="81"/>
      <c r="Y35" s="31">
        <f t="shared" si="2"/>
        <v>0</v>
      </c>
      <c r="Z35" s="32">
        <v>43453</v>
      </c>
      <c r="AA35" s="33">
        <v>1</v>
      </c>
      <c r="AB35" s="34">
        <v>44207</v>
      </c>
      <c r="AC35" s="54">
        <v>44214</v>
      </c>
      <c r="AD35" s="60"/>
      <c r="AE35" s="35"/>
      <c r="AF35" s="36"/>
      <c r="AG35" s="61"/>
      <c r="AH35" s="60"/>
      <c r="AI35" s="35"/>
      <c r="AJ35" s="36"/>
      <c r="AK35" s="61"/>
      <c r="AL35" s="60"/>
      <c r="AM35" s="35"/>
      <c r="AN35" s="36"/>
      <c r="AO35" s="61"/>
      <c r="AP35" s="60"/>
      <c r="AQ35" s="35"/>
      <c r="AR35" s="36"/>
      <c r="AS35" s="61"/>
      <c r="AT35" s="37">
        <f t="shared" si="3"/>
        <v>43453</v>
      </c>
      <c r="AU35" s="38">
        <f t="shared" si="4"/>
        <v>43453</v>
      </c>
    </row>
    <row r="36" spans="2:47" s="26" customFormat="1" ht="22.5" x14ac:dyDescent="0.25">
      <c r="B36" s="27">
        <v>21</v>
      </c>
      <c r="C36" s="27" t="s">
        <v>39</v>
      </c>
      <c r="D36" s="50">
        <f>+'[2]Planilla  2021'!$D27</f>
        <v>30459428</v>
      </c>
      <c r="E36" s="29" t="str">
        <f>+'[2]Planilla  2021'!$E27</f>
        <v>MEJORAMIENTO Y AMPL. ESC. DIFERENCIAL NICOLAS MLADINIC , NATALES</v>
      </c>
      <c r="F36" s="51" t="str">
        <f>+'[2]Planilla  2021'!$G27</f>
        <v>Diseño</v>
      </c>
      <c r="G36" s="30" t="s">
        <v>2291</v>
      </c>
      <c r="H36" s="30" t="str">
        <f>+'[2]Planilla  2021'!$K27</f>
        <v>NATALES</v>
      </c>
      <c r="I36" s="95" t="s">
        <v>57</v>
      </c>
      <c r="J36" s="31">
        <f>+'[2]Planilla  2021'!$AW27</f>
        <v>79124</v>
      </c>
      <c r="K36" s="31">
        <f>+'[2]Planilla  2021'!$AK27</f>
        <v>5489</v>
      </c>
      <c r="L36" s="76">
        <f>+'[2]Planilla  2021'!$BJ27</f>
        <v>0</v>
      </c>
      <c r="M36" s="80"/>
      <c r="N36" s="31"/>
      <c r="O36" s="81"/>
      <c r="P36" s="80"/>
      <c r="Q36" s="31"/>
      <c r="R36" s="81"/>
      <c r="S36" s="80"/>
      <c r="T36" s="31"/>
      <c r="U36" s="81"/>
      <c r="V36" s="80"/>
      <c r="W36" s="31"/>
      <c r="X36" s="81"/>
      <c r="Y36" s="31">
        <f t="shared" si="2"/>
        <v>0</v>
      </c>
      <c r="Z36" s="32">
        <v>67080</v>
      </c>
      <c r="AA36" s="33">
        <v>1</v>
      </c>
      <c r="AB36" s="34">
        <v>44207</v>
      </c>
      <c r="AC36" s="54">
        <v>44214</v>
      </c>
      <c r="AD36" s="60"/>
      <c r="AE36" s="35"/>
      <c r="AF36" s="36"/>
      <c r="AG36" s="61"/>
      <c r="AH36" s="60"/>
      <c r="AI36" s="35"/>
      <c r="AJ36" s="36"/>
      <c r="AK36" s="61"/>
      <c r="AL36" s="60"/>
      <c r="AM36" s="35"/>
      <c r="AN36" s="36"/>
      <c r="AO36" s="61"/>
      <c r="AP36" s="60"/>
      <c r="AQ36" s="35"/>
      <c r="AR36" s="36"/>
      <c r="AS36" s="61"/>
      <c r="AT36" s="37">
        <f t="shared" si="3"/>
        <v>67080</v>
      </c>
      <c r="AU36" s="38">
        <f t="shared" si="4"/>
        <v>67080</v>
      </c>
    </row>
    <row r="37" spans="2:47" s="26" customFormat="1" ht="22.5" x14ac:dyDescent="0.25">
      <c r="B37" s="27">
        <v>22</v>
      </c>
      <c r="C37" s="27" t="s">
        <v>39</v>
      </c>
      <c r="D37" s="50">
        <f>+'[2]Planilla  2021'!$D28</f>
        <v>30464641</v>
      </c>
      <c r="E37" s="29" t="str">
        <f>+'[2]Planilla  2021'!$E28</f>
        <v>MEJORAMIENTO R. Y-71, PORVENIR-ONAISSIN, TRAMO I, PROV. T. DEL FUEGO</v>
      </c>
      <c r="F37" s="51" t="str">
        <f>+'[2]Planilla  2021'!$G28</f>
        <v>Ejecución</v>
      </c>
      <c r="G37" s="30" t="s">
        <v>2291</v>
      </c>
      <c r="H37" s="30" t="str">
        <f>+'[2]Planilla  2021'!$K28</f>
        <v>INTERCOMUNAL</v>
      </c>
      <c r="I37" s="95" t="s">
        <v>57</v>
      </c>
      <c r="J37" s="31">
        <f>+'[2]Planilla  2021'!$AW28</f>
        <v>84329605</v>
      </c>
      <c r="K37" s="31">
        <f>+'[2]Planilla  2021'!$AK28</f>
        <v>6290614</v>
      </c>
      <c r="L37" s="76">
        <f>+'[2]Planilla  2021'!$BJ28</f>
        <v>6561409</v>
      </c>
      <c r="M37" s="80">
        <v>766058</v>
      </c>
      <c r="N37" s="31">
        <v>596027</v>
      </c>
      <c r="O37" s="81">
        <v>474774</v>
      </c>
      <c r="P37" s="80"/>
      <c r="Q37" s="31"/>
      <c r="R37" s="81"/>
      <c r="S37" s="80"/>
      <c r="T37" s="31"/>
      <c r="U37" s="81"/>
      <c r="V37" s="80"/>
      <c r="W37" s="31"/>
      <c r="X37" s="81"/>
      <c r="Y37" s="31">
        <f t="shared" si="2"/>
        <v>1836859</v>
      </c>
      <c r="Z37" s="32">
        <v>2991350</v>
      </c>
      <c r="AA37" s="33">
        <v>1</v>
      </c>
      <c r="AB37" s="34">
        <v>44207</v>
      </c>
      <c r="AC37" s="54">
        <v>44214</v>
      </c>
      <c r="AD37" s="60"/>
      <c r="AE37" s="35"/>
      <c r="AF37" s="36"/>
      <c r="AG37" s="61"/>
      <c r="AH37" s="60"/>
      <c r="AI37" s="35"/>
      <c r="AJ37" s="36"/>
      <c r="AK37" s="61"/>
      <c r="AL37" s="60"/>
      <c r="AM37" s="35"/>
      <c r="AN37" s="36"/>
      <c r="AO37" s="61"/>
      <c r="AP37" s="60"/>
      <c r="AQ37" s="35"/>
      <c r="AR37" s="36"/>
      <c r="AS37" s="61"/>
      <c r="AT37" s="37">
        <f t="shared" si="3"/>
        <v>2991350</v>
      </c>
      <c r="AU37" s="38">
        <f t="shared" si="4"/>
        <v>1154491</v>
      </c>
    </row>
    <row r="38" spans="2:47" s="26" customFormat="1" ht="22.5" x14ac:dyDescent="0.25">
      <c r="B38" s="27">
        <v>23</v>
      </c>
      <c r="C38" s="27" t="s">
        <v>39</v>
      </c>
      <c r="D38" s="50">
        <f>+'[2]Planilla  2021'!$D29</f>
        <v>30464891</v>
      </c>
      <c r="E38" s="29" t="str">
        <f>+'[2]Planilla  2021'!$E29</f>
        <v>CONSTRUCCION CALLE EL OVEJERO, PTA. ARENAS.  (DISEÑO)</v>
      </c>
      <c r="F38" s="51" t="str">
        <f>+'[2]Planilla  2021'!$G29</f>
        <v>Diseño</v>
      </c>
      <c r="G38" s="30" t="s">
        <v>2291</v>
      </c>
      <c r="H38" s="30" t="str">
        <f>+'[2]Planilla  2021'!$K29</f>
        <v>PUNTA ARENAS</v>
      </c>
      <c r="I38" s="95" t="s">
        <v>57</v>
      </c>
      <c r="J38" s="31">
        <f>+'[2]Planilla  2021'!$AW29</f>
        <v>24493</v>
      </c>
      <c r="K38" s="31">
        <f>+'[2]Planilla  2021'!$AK29</f>
        <v>21346</v>
      </c>
      <c r="L38" s="76">
        <f>+'[2]Planilla  2021'!$BJ29</f>
        <v>0</v>
      </c>
      <c r="M38" s="80"/>
      <c r="N38" s="31"/>
      <c r="O38" s="81"/>
      <c r="P38" s="80"/>
      <c r="Q38" s="31"/>
      <c r="R38" s="81"/>
      <c r="S38" s="80"/>
      <c r="T38" s="31"/>
      <c r="U38" s="81"/>
      <c r="V38" s="80"/>
      <c r="W38" s="31"/>
      <c r="X38" s="81"/>
      <c r="Y38" s="31">
        <f t="shared" si="2"/>
        <v>0</v>
      </c>
      <c r="Z38" s="32">
        <v>3078</v>
      </c>
      <c r="AA38" s="33">
        <v>1</v>
      </c>
      <c r="AB38" s="34">
        <v>44207</v>
      </c>
      <c r="AC38" s="54">
        <v>44214</v>
      </c>
      <c r="AD38" s="60"/>
      <c r="AE38" s="35"/>
      <c r="AF38" s="36"/>
      <c r="AG38" s="61"/>
      <c r="AH38" s="60"/>
      <c r="AI38" s="35"/>
      <c r="AJ38" s="36"/>
      <c r="AK38" s="61"/>
      <c r="AL38" s="60"/>
      <c r="AM38" s="35"/>
      <c r="AN38" s="36"/>
      <c r="AO38" s="61"/>
      <c r="AP38" s="60"/>
      <c r="AQ38" s="35"/>
      <c r="AR38" s="36"/>
      <c r="AS38" s="61"/>
      <c r="AT38" s="37">
        <f t="shared" si="3"/>
        <v>3078</v>
      </c>
      <c r="AU38" s="38">
        <f t="shared" si="4"/>
        <v>3078</v>
      </c>
    </row>
    <row r="39" spans="2:47" s="26" customFormat="1" ht="22.5" x14ac:dyDescent="0.25">
      <c r="B39" s="27">
        <v>24</v>
      </c>
      <c r="C39" s="27" t="s">
        <v>39</v>
      </c>
      <c r="D39" s="50">
        <f>+'[2]Planilla  2021'!$D30</f>
        <v>30468185</v>
      </c>
      <c r="E39" s="29" t="str">
        <f>+'[2]Planilla  2021'!$E30</f>
        <v>MEJORAMIENTO CALLE DUBLE ALMEYDA, COMUNA PORVENIR. XII REGIÓN</v>
      </c>
      <c r="F39" s="51" t="str">
        <f>+'[2]Planilla  2021'!$G30</f>
        <v>Ejecución</v>
      </c>
      <c r="G39" s="30" t="s">
        <v>2291</v>
      </c>
      <c r="H39" s="30" t="str">
        <f>+'[2]Planilla  2021'!$K30</f>
        <v>PORVENIR</v>
      </c>
      <c r="I39" s="95" t="s">
        <v>57</v>
      </c>
      <c r="J39" s="31">
        <f>+'[2]Planilla  2021'!$AW30</f>
        <v>1287585</v>
      </c>
      <c r="K39" s="31">
        <f>+'[2]Planilla  2021'!$AK30</f>
        <v>959397</v>
      </c>
      <c r="L39" s="76">
        <f>+'[2]Planilla  2021'!$BJ30</f>
        <v>0</v>
      </c>
      <c r="M39" s="80"/>
      <c r="N39" s="31"/>
      <c r="O39" s="81"/>
      <c r="P39" s="80"/>
      <c r="Q39" s="31"/>
      <c r="R39" s="81"/>
      <c r="S39" s="80"/>
      <c r="T39" s="31"/>
      <c r="U39" s="81"/>
      <c r="V39" s="80"/>
      <c r="W39" s="31"/>
      <c r="X39" s="81"/>
      <c r="Y39" s="31">
        <f t="shared" si="2"/>
        <v>0</v>
      </c>
      <c r="Z39" s="32">
        <v>268254</v>
      </c>
      <c r="AA39" s="33">
        <v>1</v>
      </c>
      <c r="AB39" s="34">
        <v>44207</v>
      </c>
      <c r="AC39" s="54">
        <v>44214</v>
      </c>
      <c r="AD39" s="60"/>
      <c r="AE39" s="35"/>
      <c r="AF39" s="36"/>
      <c r="AG39" s="61"/>
      <c r="AH39" s="60"/>
      <c r="AI39" s="35"/>
      <c r="AJ39" s="36"/>
      <c r="AK39" s="61"/>
      <c r="AL39" s="60"/>
      <c r="AM39" s="35"/>
      <c r="AN39" s="36"/>
      <c r="AO39" s="61"/>
      <c r="AP39" s="60"/>
      <c r="AQ39" s="35"/>
      <c r="AR39" s="36"/>
      <c r="AS39" s="61"/>
      <c r="AT39" s="37">
        <f t="shared" si="3"/>
        <v>268254</v>
      </c>
      <c r="AU39" s="38">
        <f t="shared" si="4"/>
        <v>268254</v>
      </c>
    </row>
    <row r="40" spans="2:47" s="26" customFormat="1" ht="22.5" x14ac:dyDescent="0.25">
      <c r="B40" s="27">
        <v>25</v>
      </c>
      <c r="C40" s="27" t="s">
        <v>39</v>
      </c>
      <c r="D40" s="50">
        <f>+'[2]Planilla  2021'!$D31</f>
        <v>30469790</v>
      </c>
      <c r="E40" s="29" t="str">
        <f>+'[2]Planilla  2021'!$E31</f>
        <v>CONSTRUCCIÓN COLECTOR AGUAS LLUVIAS CALLE PILOTO PARDO, NATALES</v>
      </c>
      <c r="F40" s="51" t="str">
        <f>+'[2]Planilla  2021'!$G31</f>
        <v>Ejecución</v>
      </c>
      <c r="G40" s="30" t="s">
        <v>2291</v>
      </c>
      <c r="H40" s="30" t="str">
        <f>+'[2]Planilla  2021'!$K31</f>
        <v>NATALES</v>
      </c>
      <c r="I40" s="95" t="s">
        <v>57</v>
      </c>
      <c r="J40" s="31">
        <f>+'[2]Planilla  2021'!$AW31</f>
        <v>475688</v>
      </c>
      <c r="K40" s="31">
        <f>+'[2]Planilla  2021'!$AK31</f>
        <v>371359</v>
      </c>
      <c r="L40" s="76">
        <f>+'[2]Planilla  2021'!$BJ31</f>
        <v>8313</v>
      </c>
      <c r="M40" s="80"/>
      <c r="N40" s="31"/>
      <c r="O40" s="81"/>
      <c r="P40" s="80"/>
      <c r="Q40" s="31"/>
      <c r="R40" s="81"/>
      <c r="S40" s="80"/>
      <c r="T40" s="31"/>
      <c r="U40" s="81"/>
      <c r="V40" s="80"/>
      <c r="W40" s="31"/>
      <c r="X40" s="81"/>
      <c r="Y40" s="31">
        <f t="shared" si="2"/>
        <v>0</v>
      </c>
      <c r="Z40" s="32">
        <v>39724</v>
      </c>
      <c r="AA40" s="33">
        <v>1</v>
      </c>
      <c r="AB40" s="34">
        <v>44207</v>
      </c>
      <c r="AC40" s="54">
        <v>44214</v>
      </c>
      <c r="AD40" s="60"/>
      <c r="AE40" s="35"/>
      <c r="AF40" s="36"/>
      <c r="AG40" s="61"/>
      <c r="AH40" s="60"/>
      <c r="AI40" s="35"/>
      <c r="AJ40" s="36"/>
      <c r="AK40" s="61"/>
      <c r="AL40" s="60"/>
      <c r="AM40" s="35"/>
      <c r="AN40" s="36"/>
      <c r="AO40" s="61"/>
      <c r="AP40" s="60"/>
      <c r="AQ40" s="35"/>
      <c r="AR40" s="36"/>
      <c r="AS40" s="61"/>
      <c r="AT40" s="37">
        <f t="shared" si="3"/>
        <v>39724</v>
      </c>
      <c r="AU40" s="38">
        <f t="shared" si="4"/>
        <v>39724</v>
      </c>
    </row>
    <row r="41" spans="2:47" s="26" customFormat="1" ht="22.5" x14ac:dyDescent="0.25">
      <c r="B41" s="27">
        <v>26</v>
      </c>
      <c r="C41" s="27" t="s">
        <v>39</v>
      </c>
      <c r="D41" s="50">
        <f>+'[2]Planilla  2021'!$D32</f>
        <v>30470391</v>
      </c>
      <c r="E41" s="29" t="str">
        <f>+'[2]Planilla  2021'!$E32</f>
        <v>CONSTRUCCION CALLE JOSÉ GONZÁLEZ PUNTA ARENAS</v>
      </c>
      <c r="F41" s="51" t="str">
        <f>+'[2]Planilla  2021'!$G32</f>
        <v>Diseño</v>
      </c>
      <c r="G41" s="30" t="s">
        <v>2291</v>
      </c>
      <c r="H41" s="30" t="str">
        <f>+'[2]Planilla  2021'!$K32</f>
        <v>PUNTA ARENAS</v>
      </c>
      <c r="I41" s="95" t="s">
        <v>57</v>
      </c>
      <c r="J41" s="31">
        <f>+'[2]Planilla  2021'!$AW32</f>
        <v>30385</v>
      </c>
      <c r="K41" s="31">
        <f>+'[2]Planilla  2021'!$AK32</f>
        <v>27462</v>
      </c>
      <c r="L41" s="76">
        <f>+'[2]Planilla  2021'!$BJ32</f>
        <v>0</v>
      </c>
      <c r="M41" s="80"/>
      <c r="N41" s="31"/>
      <c r="O41" s="81"/>
      <c r="P41" s="80"/>
      <c r="Q41" s="31"/>
      <c r="R41" s="81"/>
      <c r="S41" s="80"/>
      <c r="T41" s="31"/>
      <c r="U41" s="81"/>
      <c r="V41" s="80"/>
      <c r="W41" s="31"/>
      <c r="X41" s="81"/>
      <c r="Y41" s="31">
        <f t="shared" si="2"/>
        <v>0</v>
      </c>
      <c r="Z41" s="32">
        <v>2923</v>
      </c>
      <c r="AA41" s="33">
        <v>1</v>
      </c>
      <c r="AB41" s="34">
        <v>44207</v>
      </c>
      <c r="AC41" s="54">
        <v>44214</v>
      </c>
      <c r="AD41" s="60"/>
      <c r="AE41" s="35"/>
      <c r="AF41" s="36"/>
      <c r="AG41" s="61"/>
      <c r="AH41" s="60"/>
      <c r="AI41" s="35"/>
      <c r="AJ41" s="36"/>
      <c r="AK41" s="61"/>
      <c r="AL41" s="60"/>
      <c r="AM41" s="35"/>
      <c r="AN41" s="36"/>
      <c r="AO41" s="61"/>
      <c r="AP41" s="60"/>
      <c r="AQ41" s="35"/>
      <c r="AR41" s="36"/>
      <c r="AS41" s="61"/>
      <c r="AT41" s="37">
        <f t="shared" si="3"/>
        <v>2923</v>
      </c>
      <c r="AU41" s="38">
        <f t="shared" si="4"/>
        <v>2923</v>
      </c>
    </row>
    <row r="42" spans="2:47" s="26" customFormat="1" ht="22.5" x14ac:dyDescent="0.25">
      <c r="B42" s="27">
        <v>27</v>
      </c>
      <c r="C42" s="27" t="s">
        <v>39</v>
      </c>
      <c r="D42" s="50">
        <f>+'[2]Planilla  2021'!$D33</f>
        <v>30471786</v>
      </c>
      <c r="E42" s="29" t="str">
        <f>+'[2]Planilla  2021'!$E33</f>
        <v>CONSTRUCCION CALLE MIRAFLORES, PUNTA ARENAS.  (DISEÑO)</v>
      </c>
      <c r="F42" s="51" t="str">
        <f>+'[2]Planilla  2021'!$G33</f>
        <v>Diseño</v>
      </c>
      <c r="G42" s="30" t="s">
        <v>2291</v>
      </c>
      <c r="H42" s="30" t="str">
        <f>+'[2]Planilla  2021'!$K33</f>
        <v>PUNTA ARENAS</v>
      </c>
      <c r="I42" s="95" t="s">
        <v>57</v>
      </c>
      <c r="J42" s="31">
        <f>+'[2]Planilla  2021'!$AW33</f>
        <v>27143</v>
      </c>
      <c r="K42" s="31">
        <f>+'[2]Planilla  2021'!$AK33</f>
        <v>23993</v>
      </c>
      <c r="L42" s="76">
        <f>+'[2]Planilla  2021'!$BJ33</f>
        <v>2</v>
      </c>
      <c r="M42" s="80"/>
      <c r="N42" s="31"/>
      <c r="O42" s="81"/>
      <c r="P42" s="80"/>
      <c r="Q42" s="31"/>
      <c r="R42" s="81"/>
      <c r="S42" s="80"/>
      <c r="T42" s="31"/>
      <c r="U42" s="81"/>
      <c r="V42" s="80"/>
      <c r="W42" s="31"/>
      <c r="X42" s="81"/>
      <c r="Y42" s="31">
        <f t="shared" si="2"/>
        <v>0</v>
      </c>
      <c r="Z42" s="32">
        <v>3079</v>
      </c>
      <c r="AA42" s="33">
        <v>1</v>
      </c>
      <c r="AB42" s="34">
        <v>44207</v>
      </c>
      <c r="AC42" s="54">
        <v>44214</v>
      </c>
      <c r="AD42" s="60"/>
      <c r="AE42" s="35"/>
      <c r="AF42" s="36"/>
      <c r="AG42" s="61"/>
      <c r="AH42" s="60"/>
      <c r="AI42" s="35"/>
      <c r="AJ42" s="36"/>
      <c r="AK42" s="61"/>
      <c r="AL42" s="60"/>
      <c r="AM42" s="35"/>
      <c r="AN42" s="36"/>
      <c r="AO42" s="61"/>
      <c r="AP42" s="60"/>
      <c r="AQ42" s="35"/>
      <c r="AR42" s="36"/>
      <c r="AS42" s="61"/>
      <c r="AT42" s="37">
        <f t="shared" si="3"/>
        <v>3079</v>
      </c>
      <c r="AU42" s="38">
        <f t="shared" si="4"/>
        <v>3079</v>
      </c>
    </row>
    <row r="43" spans="2:47" s="26" customFormat="1" ht="22.5" x14ac:dyDescent="0.25">
      <c r="B43" s="27">
        <v>28</v>
      </c>
      <c r="C43" s="27" t="s">
        <v>39</v>
      </c>
      <c r="D43" s="50">
        <f>+'[2]Planilla  2021'!$D34</f>
        <v>30471945</v>
      </c>
      <c r="E43" s="29" t="str">
        <f>+'[2]Planilla  2021'!$E34</f>
        <v>CONSTRUCCION SALA CUNA Y JARDÍN INFANTIL PUERTO WILLIAMS</v>
      </c>
      <c r="F43" s="51" t="str">
        <f>+'[2]Planilla  2021'!$G34</f>
        <v>Ejecución</v>
      </c>
      <c r="G43" s="30" t="s">
        <v>2291</v>
      </c>
      <c r="H43" s="30" t="str">
        <f>+'[2]Planilla  2021'!$K34</f>
        <v>CABO DE HORNOS</v>
      </c>
      <c r="I43" s="95" t="s">
        <v>57</v>
      </c>
      <c r="J43" s="31">
        <f>+'[2]Planilla  2021'!$AW34</f>
        <v>1635176</v>
      </c>
      <c r="K43" s="31">
        <f>+'[2]Planilla  2021'!$AK34</f>
        <v>1524024</v>
      </c>
      <c r="L43" s="76">
        <f>+'[2]Planilla  2021'!$BJ34</f>
        <v>42470</v>
      </c>
      <c r="M43" s="80"/>
      <c r="N43" s="31"/>
      <c r="O43" s="81">
        <v>193</v>
      </c>
      <c r="P43" s="80"/>
      <c r="Q43" s="31"/>
      <c r="R43" s="81"/>
      <c r="S43" s="80"/>
      <c r="T43" s="31"/>
      <c r="U43" s="81"/>
      <c r="V43" s="80"/>
      <c r="W43" s="31"/>
      <c r="X43" s="81"/>
      <c r="Y43" s="31">
        <f t="shared" si="2"/>
        <v>193</v>
      </c>
      <c r="Z43" s="32">
        <v>65467</v>
      </c>
      <c r="AA43" s="33">
        <v>1</v>
      </c>
      <c r="AB43" s="34">
        <v>44207</v>
      </c>
      <c r="AC43" s="54">
        <v>44214</v>
      </c>
      <c r="AD43" s="60"/>
      <c r="AE43" s="35"/>
      <c r="AF43" s="36"/>
      <c r="AG43" s="61"/>
      <c r="AH43" s="60"/>
      <c r="AI43" s="35"/>
      <c r="AJ43" s="36"/>
      <c r="AK43" s="61"/>
      <c r="AL43" s="60"/>
      <c r="AM43" s="35"/>
      <c r="AN43" s="36"/>
      <c r="AO43" s="61"/>
      <c r="AP43" s="60"/>
      <c r="AQ43" s="35"/>
      <c r="AR43" s="36"/>
      <c r="AS43" s="61"/>
      <c r="AT43" s="37">
        <f t="shared" si="3"/>
        <v>65467</v>
      </c>
      <c r="AU43" s="38">
        <f t="shared" si="4"/>
        <v>65274</v>
      </c>
    </row>
    <row r="44" spans="2:47" s="26" customFormat="1" ht="33.75" x14ac:dyDescent="0.25">
      <c r="B44" s="27">
        <v>29</v>
      </c>
      <c r="C44" s="27" t="s">
        <v>39</v>
      </c>
      <c r="D44" s="50">
        <f>+'[2]Planilla  2021'!$D35</f>
        <v>30472385</v>
      </c>
      <c r="E44" s="29" t="str">
        <f>+'[2]Planilla  2021'!$E35</f>
        <v>MEJORAMIENTO 12 ZONAS DE JUEGOS INFANTILES Y UNA PISTA DE PATINAJE, COMUNA NATALES</v>
      </c>
      <c r="F44" s="51" t="str">
        <f>+'[2]Planilla  2021'!$G35</f>
        <v>Ejecución</v>
      </c>
      <c r="G44" s="30" t="s">
        <v>2291</v>
      </c>
      <c r="H44" s="30" t="str">
        <f>+'[2]Planilla  2021'!$K35</f>
        <v>NATALES</v>
      </c>
      <c r="I44" s="95" t="s">
        <v>57</v>
      </c>
      <c r="J44" s="31">
        <f>+'[2]Planilla  2021'!$AW35</f>
        <v>1511802</v>
      </c>
      <c r="K44" s="31">
        <f>+'[2]Planilla  2021'!$AK35</f>
        <v>1336248</v>
      </c>
      <c r="L44" s="76">
        <f>+'[2]Planilla  2021'!$BJ35</f>
        <v>0</v>
      </c>
      <c r="M44" s="80"/>
      <c r="N44" s="31"/>
      <c r="O44" s="81">
        <v>40295</v>
      </c>
      <c r="P44" s="80"/>
      <c r="Q44" s="31"/>
      <c r="R44" s="81"/>
      <c r="S44" s="80"/>
      <c r="T44" s="31"/>
      <c r="U44" s="81"/>
      <c r="V44" s="80"/>
      <c r="W44" s="31"/>
      <c r="X44" s="81"/>
      <c r="Y44" s="31">
        <f t="shared" si="2"/>
        <v>40295</v>
      </c>
      <c r="Z44" s="32">
        <v>40295</v>
      </c>
      <c r="AA44" s="33">
        <v>1</v>
      </c>
      <c r="AB44" s="34">
        <v>44207</v>
      </c>
      <c r="AC44" s="54">
        <v>44214</v>
      </c>
      <c r="AD44" s="60"/>
      <c r="AE44" s="35"/>
      <c r="AF44" s="36"/>
      <c r="AG44" s="61"/>
      <c r="AH44" s="60"/>
      <c r="AI44" s="35"/>
      <c r="AJ44" s="36"/>
      <c r="AK44" s="61"/>
      <c r="AL44" s="60"/>
      <c r="AM44" s="35"/>
      <c r="AN44" s="36"/>
      <c r="AO44" s="61"/>
      <c r="AP44" s="60"/>
      <c r="AQ44" s="35"/>
      <c r="AR44" s="36"/>
      <c r="AS44" s="61"/>
      <c r="AT44" s="37">
        <f t="shared" si="3"/>
        <v>40295</v>
      </c>
      <c r="AU44" s="38">
        <f t="shared" si="4"/>
        <v>0</v>
      </c>
    </row>
    <row r="45" spans="2:47" s="26" customFormat="1" ht="22.5" x14ac:dyDescent="0.25">
      <c r="B45" s="27">
        <v>30</v>
      </c>
      <c r="C45" s="27" t="s">
        <v>39</v>
      </c>
      <c r="D45" s="50">
        <f>+'[2]Planilla  2021'!$D36</f>
        <v>30472887</v>
      </c>
      <c r="E45" s="29" t="str">
        <f>+'[2]Planilla  2021'!$E36</f>
        <v>CONSTRUCCION AVDA. DALCAHUE, PUNTA ARENAS, XII REGION</v>
      </c>
      <c r="F45" s="51" t="str">
        <f>+'[2]Planilla  2021'!$G36</f>
        <v>Ejecución</v>
      </c>
      <c r="G45" s="30" t="s">
        <v>2291</v>
      </c>
      <c r="H45" s="30" t="str">
        <f>+'[2]Planilla  2021'!$K36</f>
        <v>PUNTA ARENAS</v>
      </c>
      <c r="I45" s="95" t="s">
        <v>57</v>
      </c>
      <c r="J45" s="31">
        <f>+'[2]Planilla  2021'!$AW36</f>
        <v>2398253</v>
      </c>
      <c r="K45" s="31">
        <f>+'[2]Planilla  2021'!$AK36</f>
        <v>704650</v>
      </c>
      <c r="L45" s="76">
        <f>+'[2]Planilla  2021'!$BJ36</f>
        <v>2</v>
      </c>
      <c r="M45" s="80">
        <v>228177</v>
      </c>
      <c r="N45" s="31">
        <v>49192</v>
      </c>
      <c r="O45" s="81">
        <v>42591</v>
      </c>
      <c r="P45" s="80"/>
      <c r="Q45" s="31"/>
      <c r="R45" s="81"/>
      <c r="S45" s="80"/>
      <c r="T45" s="31"/>
      <c r="U45" s="81"/>
      <c r="V45" s="80"/>
      <c r="W45" s="31"/>
      <c r="X45" s="81"/>
      <c r="Y45" s="31">
        <f t="shared" si="2"/>
        <v>319960</v>
      </c>
      <c r="Z45" s="32">
        <f>519070</f>
        <v>519070</v>
      </c>
      <c r="AA45" s="33">
        <v>1</v>
      </c>
      <c r="AB45" s="34">
        <v>44207</v>
      </c>
      <c r="AC45" s="54">
        <v>44214</v>
      </c>
      <c r="AD45" s="60"/>
      <c r="AE45" s="35"/>
      <c r="AF45" s="36"/>
      <c r="AG45" s="61"/>
      <c r="AH45" s="60"/>
      <c r="AI45" s="35"/>
      <c r="AJ45" s="36"/>
      <c r="AK45" s="61"/>
      <c r="AL45" s="60">
        <f>185208</f>
        <v>185208</v>
      </c>
      <c r="AM45" s="35">
        <v>13</v>
      </c>
      <c r="AN45" s="61">
        <v>44277</v>
      </c>
      <c r="AO45" s="61">
        <v>44281</v>
      </c>
      <c r="AP45" s="60"/>
      <c r="AQ45" s="35"/>
      <c r="AR45" s="36"/>
      <c r="AS45" s="61"/>
      <c r="AT45" s="37">
        <f t="shared" si="3"/>
        <v>704278</v>
      </c>
      <c r="AU45" s="38">
        <f t="shared" si="4"/>
        <v>384318</v>
      </c>
    </row>
    <row r="46" spans="2:47" s="26" customFormat="1" ht="22.5" x14ac:dyDescent="0.25">
      <c r="B46" s="27">
        <v>31</v>
      </c>
      <c r="C46" s="27" t="s">
        <v>39</v>
      </c>
      <c r="D46" s="50">
        <f>+'[2]Planilla  2021'!$D37</f>
        <v>30473785</v>
      </c>
      <c r="E46" s="29" t="str">
        <f>+'[2]Planilla  2021'!$E37</f>
        <v>CONSTRUCCION PLAZA TEMATICA DE TRANSITO, NATALES</v>
      </c>
      <c r="F46" s="51" t="str">
        <f>+'[2]Planilla  2021'!$G37</f>
        <v>Ejecución</v>
      </c>
      <c r="G46" s="30" t="s">
        <v>2291</v>
      </c>
      <c r="H46" s="30" t="str">
        <f>+'[2]Planilla  2021'!$K37</f>
        <v>NATALES</v>
      </c>
      <c r="I46" s="95" t="s">
        <v>57</v>
      </c>
      <c r="J46" s="31">
        <f>+'[2]Planilla  2021'!$AW37</f>
        <v>340695</v>
      </c>
      <c r="K46" s="31">
        <f>+'[2]Planilla  2021'!$AK37</f>
        <v>228204</v>
      </c>
      <c r="L46" s="76">
        <f>+'[2]Planilla  2021'!$BJ37</f>
        <v>0</v>
      </c>
      <c r="M46" s="80"/>
      <c r="N46" s="31"/>
      <c r="O46" s="81"/>
      <c r="P46" s="80"/>
      <c r="Q46" s="31"/>
      <c r="R46" s="81"/>
      <c r="S46" s="80"/>
      <c r="T46" s="31"/>
      <c r="U46" s="81"/>
      <c r="V46" s="80"/>
      <c r="W46" s="31"/>
      <c r="X46" s="81"/>
      <c r="Y46" s="31">
        <f t="shared" si="2"/>
        <v>0</v>
      </c>
      <c r="Z46" s="32">
        <v>66815</v>
      </c>
      <c r="AA46" s="33">
        <v>1</v>
      </c>
      <c r="AB46" s="34">
        <v>44207</v>
      </c>
      <c r="AC46" s="54">
        <v>44214</v>
      </c>
      <c r="AD46" s="60"/>
      <c r="AE46" s="35"/>
      <c r="AF46" s="36"/>
      <c r="AG46" s="61"/>
      <c r="AH46" s="60"/>
      <c r="AI46" s="35"/>
      <c r="AJ46" s="36"/>
      <c r="AK46" s="61"/>
      <c r="AL46" s="60"/>
      <c r="AM46" s="35"/>
      <c r="AN46" s="61"/>
      <c r="AO46" s="61"/>
      <c r="AP46" s="60"/>
      <c r="AQ46" s="35"/>
      <c r="AR46" s="36"/>
      <c r="AS46" s="61"/>
      <c r="AT46" s="37">
        <f t="shared" si="3"/>
        <v>66815</v>
      </c>
      <c r="AU46" s="38">
        <f t="shared" si="4"/>
        <v>66815</v>
      </c>
    </row>
    <row r="47" spans="2:47" s="26" customFormat="1" ht="22.5" x14ac:dyDescent="0.25">
      <c r="B47" s="27">
        <v>32</v>
      </c>
      <c r="C47" s="27" t="s">
        <v>39</v>
      </c>
      <c r="D47" s="50">
        <f>+'[2]Planilla  2021'!$D38</f>
        <v>30476983</v>
      </c>
      <c r="E47" s="29" t="str">
        <f>+'[2]Planilla  2021'!$E38</f>
        <v>CONSTRUCCION SISTEMA DE AUTOGENERACIÓN EÓLICO DIÉSEL, RÍO VERDE</v>
      </c>
      <c r="F47" s="51" t="str">
        <f>+'[2]Planilla  2021'!$G38</f>
        <v>Ejecución</v>
      </c>
      <c r="G47" s="30" t="s">
        <v>2291</v>
      </c>
      <c r="H47" s="30" t="str">
        <f>+'[2]Planilla  2021'!$K38</f>
        <v>RÍO VERDE</v>
      </c>
      <c r="I47" s="95" t="s">
        <v>57</v>
      </c>
      <c r="J47" s="31">
        <f>+'[2]Planilla  2021'!$AW38</f>
        <v>793558</v>
      </c>
      <c r="K47" s="31">
        <f>+'[2]Planilla  2021'!$AK38</f>
        <v>125418</v>
      </c>
      <c r="L47" s="76">
        <f>+'[2]Planilla  2021'!$BJ38</f>
        <v>1</v>
      </c>
      <c r="M47" s="80">
        <v>1898</v>
      </c>
      <c r="N47" s="31">
        <v>1898</v>
      </c>
      <c r="O47" s="81"/>
      <c r="P47" s="80"/>
      <c r="Q47" s="31"/>
      <c r="R47" s="81"/>
      <c r="S47" s="80"/>
      <c r="T47" s="31"/>
      <c r="U47" s="81"/>
      <c r="V47" s="80"/>
      <c r="W47" s="31"/>
      <c r="X47" s="81"/>
      <c r="Y47" s="31">
        <f t="shared" si="2"/>
        <v>3796</v>
      </c>
      <c r="Z47" s="32">
        <v>125117</v>
      </c>
      <c r="AA47" s="33">
        <v>1</v>
      </c>
      <c r="AB47" s="34">
        <v>44207</v>
      </c>
      <c r="AC47" s="54">
        <v>44214</v>
      </c>
      <c r="AD47" s="60"/>
      <c r="AE47" s="35"/>
      <c r="AF47" s="36"/>
      <c r="AG47" s="61"/>
      <c r="AH47" s="60"/>
      <c r="AI47" s="35"/>
      <c r="AJ47" s="36"/>
      <c r="AK47" s="61"/>
      <c r="AL47" s="60"/>
      <c r="AM47" s="35"/>
      <c r="AN47" s="61"/>
      <c r="AO47" s="61"/>
      <c r="AP47" s="60"/>
      <c r="AQ47" s="35"/>
      <c r="AR47" s="36"/>
      <c r="AS47" s="61"/>
      <c r="AT47" s="37">
        <f t="shared" si="3"/>
        <v>125117</v>
      </c>
      <c r="AU47" s="38">
        <f t="shared" si="4"/>
        <v>121321</v>
      </c>
    </row>
    <row r="48" spans="2:47" s="26" customFormat="1" ht="22.5" x14ac:dyDescent="0.25">
      <c r="B48" s="27">
        <v>33</v>
      </c>
      <c r="C48" s="27" t="s">
        <v>39</v>
      </c>
      <c r="D48" s="50">
        <f>+'[2]Planilla  2021'!$D39</f>
        <v>30478990</v>
      </c>
      <c r="E48" s="29" t="str">
        <f>+'[2]Planilla  2021'!$E39</f>
        <v>AMPLIACION Y REPOSICION PARCIAL ESCUELA J. LADRILLERO, NATALES</v>
      </c>
      <c r="F48" s="51" t="str">
        <f>+'[2]Planilla  2021'!$G39</f>
        <v>Diseño</v>
      </c>
      <c r="G48" s="30" t="s">
        <v>2291</v>
      </c>
      <c r="H48" s="30" t="str">
        <f>+'[2]Planilla  2021'!$K39</f>
        <v>NATALES</v>
      </c>
      <c r="I48" s="95" t="s">
        <v>57</v>
      </c>
      <c r="J48" s="31">
        <f>+'[2]Planilla  2021'!$AW39</f>
        <v>156247</v>
      </c>
      <c r="K48" s="31">
        <f>+'[2]Planilla  2021'!$AK39</f>
        <v>25699</v>
      </c>
      <c r="L48" s="76">
        <f>+'[2]Planilla  2021'!$BJ39</f>
        <v>0</v>
      </c>
      <c r="M48" s="80"/>
      <c r="N48" s="31"/>
      <c r="O48" s="81"/>
      <c r="P48" s="80"/>
      <c r="Q48" s="31"/>
      <c r="R48" s="81"/>
      <c r="S48" s="80"/>
      <c r="T48" s="31"/>
      <c r="U48" s="81"/>
      <c r="V48" s="80"/>
      <c r="W48" s="31"/>
      <c r="X48" s="81"/>
      <c r="Y48" s="31">
        <f t="shared" si="2"/>
        <v>0</v>
      </c>
      <c r="Z48" s="32">
        <v>97277</v>
      </c>
      <c r="AA48" s="33">
        <v>1</v>
      </c>
      <c r="AB48" s="34">
        <v>44207</v>
      </c>
      <c r="AC48" s="54">
        <v>44214</v>
      </c>
      <c r="AD48" s="60"/>
      <c r="AE48" s="35"/>
      <c r="AF48" s="36"/>
      <c r="AG48" s="61"/>
      <c r="AH48" s="60"/>
      <c r="AI48" s="35"/>
      <c r="AJ48" s="36"/>
      <c r="AK48" s="61"/>
      <c r="AL48" s="60"/>
      <c r="AM48" s="35"/>
      <c r="AN48" s="61"/>
      <c r="AO48" s="61"/>
      <c r="AP48" s="60"/>
      <c r="AQ48" s="35"/>
      <c r="AR48" s="36"/>
      <c r="AS48" s="61"/>
      <c r="AT48" s="37">
        <f t="shared" si="3"/>
        <v>97277</v>
      </c>
      <c r="AU48" s="38">
        <f t="shared" si="4"/>
        <v>97277</v>
      </c>
    </row>
    <row r="49" spans="2:47" s="26" customFormat="1" ht="22.5" x14ac:dyDescent="0.25">
      <c r="B49" s="27">
        <v>34</v>
      </c>
      <c r="C49" s="27" t="s">
        <v>39</v>
      </c>
      <c r="D49" s="50">
        <f>+'[2]Planilla  2021'!$D40</f>
        <v>30480796</v>
      </c>
      <c r="E49" s="29" t="str">
        <f>+'[2]Planilla  2021'!$E40</f>
        <v>MEJORAMIENTO VARIAS VIAS SECTOR RÍO DE LA MANO, PUNTA ARENAS.  (DISEÑO)</v>
      </c>
      <c r="F49" s="51" t="str">
        <f>+'[2]Planilla  2021'!$G40</f>
        <v>Diseño</v>
      </c>
      <c r="G49" s="30" t="s">
        <v>2291</v>
      </c>
      <c r="H49" s="30" t="str">
        <f>+'[2]Planilla  2021'!$K40</f>
        <v>PUNTA ARENAS</v>
      </c>
      <c r="I49" s="95" t="s">
        <v>57</v>
      </c>
      <c r="J49" s="31">
        <f>+'[2]Planilla  2021'!$AW40</f>
        <v>37951</v>
      </c>
      <c r="K49" s="31">
        <f>+'[2]Planilla  2021'!$AK40</f>
        <v>11712</v>
      </c>
      <c r="L49" s="76">
        <f>+'[2]Planilla  2021'!$BJ40</f>
        <v>0</v>
      </c>
      <c r="M49" s="80"/>
      <c r="N49" s="31"/>
      <c r="O49" s="81"/>
      <c r="P49" s="80"/>
      <c r="Q49" s="31"/>
      <c r="R49" s="81"/>
      <c r="S49" s="80"/>
      <c r="T49" s="31"/>
      <c r="U49" s="81"/>
      <c r="V49" s="80"/>
      <c r="W49" s="31"/>
      <c r="X49" s="81"/>
      <c r="Y49" s="31">
        <f t="shared" si="2"/>
        <v>0</v>
      </c>
      <c r="Z49" s="32">
        <v>26239</v>
      </c>
      <c r="AA49" s="33">
        <v>1</v>
      </c>
      <c r="AB49" s="34">
        <v>44207</v>
      </c>
      <c r="AC49" s="54">
        <v>44214</v>
      </c>
      <c r="AD49" s="60"/>
      <c r="AE49" s="35"/>
      <c r="AF49" s="36"/>
      <c r="AG49" s="61"/>
      <c r="AH49" s="60"/>
      <c r="AI49" s="35"/>
      <c r="AJ49" s="36"/>
      <c r="AK49" s="61"/>
      <c r="AL49" s="60"/>
      <c r="AM49" s="35"/>
      <c r="AN49" s="61"/>
      <c r="AO49" s="61"/>
      <c r="AP49" s="60"/>
      <c r="AQ49" s="35"/>
      <c r="AR49" s="36"/>
      <c r="AS49" s="61"/>
      <c r="AT49" s="37">
        <f t="shared" si="3"/>
        <v>26239</v>
      </c>
      <c r="AU49" s="38">
        <f t="shared" si="4"/>
        <v>26239</v>
      </c>
    </row>
    <row r="50" spans="2:47" s="26" customFormat="1" ht="22.5" x14ac:dyDescent="0.25">
      <c r="B50" s="27">
        <v>35</v>
      </c>
      <c r="C50" s="27" t="s">
        <v>39</v>
      </c>
      <c r="D50" s="50">
        <f>+'[2]Planilla  2021'!$D41</f>
        <v>30481819</v>
      </c>
      <c r="E50" s="29" t="str">
        <f>+'[2]Planilla  2021'!$E41</f>
        <v>REPOSICION CESFAM THOMAS FENTON, PUNTA ARENAS</v>
      </c>
      <c r="F50" s="51" t="str">
        <f>+'[2]Planilla  2021'!$G41</f>
        <v>Ejecución</v>
      </c>
      <c r="G50" s="30" t="s">
        <v>2291</v>
      </c>
      <c r="H50" s="30" t="str">
        <f>+'[2]Planilla  2021'!$K41</f>
        <v>PUNTA ARENAS</v>
      </c>
      <c r="I50" s="95" t="s">
        <v>57</v>
      </c>
      <c r="J50" s="31">
        <f>+'[2]Planilla  2021'!$AW41</f>
        <v>4702257</v>
      </c>
      <c r="K50" s="31">
        <f>+'[2]Planilla  2021'!$AK41</f>
        <v>213752</v>
      </c>
      <c r="L50" s="76">
        <f>+'[2]Planilla  2021'!$BJ41</f>
        <v>1690653</v>
      </c>
      <c r="M50" s="80">
        <v>118493</v>
      </c>
      <c r="N50" s="31">
        <v>112960</v>
      </c>
      <c r="O50" s="81">
        <v>166745</v>
      </c>
      <c r="P50" s="80"/>
      <c r="Q50" s="31"/>
      <c r="R50" s="81"/>
      <c r="S50" s="80"/>
      <c r="T50" s="31"/>
      <c r="U50" s="81"/>
      <c r="V50" s="80"/>
      <c r="W50" s="31"/>
      <c r="X50" s="81"/>
      <c r="Y50" s="31">
        <f t="shared" si="2"/>
        <v>398198</v>
      </c>
      <c r="Z50" s="32">
        <f>815000</f>
        <v>815000</v>
      </c>
      <c r="AA50" s="33">
        <v>1</v>
      </c>
      <c r="AB50" s="34">
        <v>44207</v>
      </c>
      <c r="AC50" s="54">
        <v>44214</v>
      </c>
      <c r="AD50" s="60"/>
      <c r="AE50" s="35"/>
      <c r="AF50" s="36"/>
      <c r="AG50" s="61"/>
      <c r="AH50" s="60"/>
      <c r="AI50" s="35"/>
      <c r="AJ50" s="36"/>
      <c r="AK50" s="61"/>
      <c r="AL50" s="60">
        <f>300000</f>
        <v>300000</v>
      </c>
      <c r="AM50" s="35">
        <v>13</v>
      </c>
      <c r="AN50" s="61">
        <v>44277</v>
      </c>
      <c r="AO50" s="61">
        <v>44281</v>
      </c>
      <c r="AP50" s="60"/>
      <c r="AQ50" s="35"/>
      <c r="AR50" s="36"/>
      <c r="AS50" s="61"/>
      <c r="AT50" s="37">
        <f t="shared" si="3"/>
        <v>1115000</v>
      </c>
      <c r="AU50" s="38">
        <f t="shared" si="4"/>
        <v>716802</v>
      </c>
    </row>
    <row r="51" spans="2:47" s="26" customFormat="1" ht="22.5" x14ac:dyDescent="0.25">
      <c r="B51" s="27">
        <v>36</v>
      </c>
      <c r="C51" s="27" t="s">
        <v>39</v>
      </c>
      <c r="D51" s="50">
        <f>+'[2]Planilla  2021'!$D42</f>
        <v>30482300</v>
      </c>
      <c r="E51" s="29" t="str">
        <f>+'[2]Planilla  2021'!$E42</f>
        <v>CONSTRUCCION LOTEOS HABITACIONALES SECTOR ORIENTE NATALES, ETAPAS 2 Y 3.</v>
      </c>
      <c r="F51" s="51" t="str">
        <f>+'[2]Planilla  2021'!$G42</f>
        <v>Ejecución</v>
      </c>
      <c r="G51" s="30" t="s">
        <v>2291</v>
      </c>
      <c r="H51" s="30" t="str">
        <f>+'[2]Planilla  2021'!$K42</f>
        <v>NATALES</v>
      </c>
      <c r="I51" s="95" t="s">
        <v>57</v>
      </c>
      <c r="J51" s="31">
        <f>+'[2]Planilla  2021'!$AW42</f>
        <v>3436260</v>
      </c>
      <c r="K51" s="31">
        <f>+'[2]Planilla  2021'!$AK42</f>
        <v>0</v>
      </c>
      <c r="L51" s="76">
        <f>+'[2]Planilla  2021'!$BJ42</f>
        <v>3</v>
      </c>
      <c r="M51" s="80"/>
      <c r="N51" s="31"/>
      <c r="O51" s="81"/>
      <c r="P51" s="80"/>
      <c r="Q51" s="31"/>
      <c r="R51" s="81"/>
      <c r="S51" s="80"/>
      <c r="T51" s="31"/>
      <c r="U51" s="81"/>
      <c r="V51" s="80"/>
      <c r="W51" s="31"/>
      <c r="X51" s="81"/>
      <c r="Y51" s="31">
        <f t="shared" si="2"/>
        <v>0</v>
      </c>
      <c r="Z51" s="32">
        <f>353000</f>
        <v>353000</v>
      </c>
      <c r="AA51" s="33">
        <v>1</v>
      </c>
      <c r="AB51" s="34">
        <v>44207</v>
      </c>
      <c r="AC51" s="54">
        <v>44214</v>
      </c>
      <c r="AD51" s="60"/>
      <c r="AE51" s="35"/>
      <c r="AF51" s="36"/>
      <c r="AG51" s="61"/>
      <c r="AH51" s="60">
        <v>181000</v>
      </c>
      <c r="AI51" s="35">
        <v>9</v>
      </c>
      <c r="AJ51" s="61">
        <v>44244</v>
      </c>
      <c r="AK51" s="61">
        <v>44249</v>
      </c>
      <c r="AL51" s="60">
        <f>362000</f>
        <v>362000</v>
      </c>
      <c r="AM51" s="35">
        <v>13</v>
      </c>
      <c r="AN51" s="61">
        <v>44277</v>
      </c>
      <c r="AO51" s="61">
        <v>44281</v>
      </c>
      <c r="AP51" s="60"/>
      <c r="AQ51" s="35"/>
      <c r="AR51" s="36"/>
      <c r="AS51" s="61"/>
      <c r="AT51" s="37">
        <f t="shared" si="3"/>
        <v>896000</v>
      </c>
      <c r="AU51" s="38">
        <f t="shared" si="4"/>
        <v>896000</v>
      </c>
    </row>
    <row r="52" spans="2:47" s="26" customFormat="1" ht="22.5" x14ac:dyDescent="0.25">
      <c r="B52" s="27">
        <v>37</v>
      </c>
      <c r="C52" s="27" t="s">
        <v>39</v>
      </c>
      <c r="D52" s="50">
        <f>+'[2]Planilla  2021'!$D43</f>
        <v>30483336</v>
      </c>
      <c r="E52" s="29" t="str">
        <f>+'[2]Planilla  2021'!$E43</f>
        <v>CONSTRUCCION Y AMPLIACIÓN INSTALACIONES CORRAL MUNICIPAL, PUNTA ARENAS</v>
      </c>
      <c r="F52" s="51" t="str">
        <f>+'[2]Planilla  2021'!$G43</f>
        <v>Ejecución</v>
      </c>
      <c r="G52" s="30" t="s">
        <v>2291</v>
      </c>
      <c r="H52" s="30" t="str">
        <f>+'[2]Planilla  2021'!$K43</f>
        <v>PUNTA ARENAS</v>
      </c>
      <c r="I52" s="95" t="s">
        <v>57</v>
      </c>
      <c r="J52" s="31">
        <f>+'[2]Planilla  2021'!$AW43</f>
        <v>433685</v>
      </c>
      <c r="K52" s="31">
        <f>+'[2]Planilla  2021'!$AK43</f>
        <v>0</v>
      </c>
      <c r="L52" s="76">
        <f>+'[2]Planilla  2021'!$BJ43</f>
        <v>0</v>
      </c>
      <c r="M52" s="80"/>
      <c r="N52" s="31"/>
      <c r="O52" s="81">
        <v>28277</v>
      </c>
      <c r="P52" s="80"/>
      <c r="Q52" s="31"/>
      <c r="R52" s="81"/>
      <c r="S52" s="80"/>
      <c r="T52" s="31"/>
      <c r="U52" s="81"/>
      <c r="V52" s="80"/>
      <c r="W52" s="31"/>
      <c r="X52" s="81"/>
      <c r="Y52" s="31">
        <f t="shared" si="2"/>
        <v>28277</v>
      </c>
      <c r="Z52" s="32">
        <f>60000</f>
        <v>60000</v>
      </c>
      <c r="AA52" s="33">
        <v>1</v>
      </c>
      <c r="AB52" s="34">
        <v>44207</v>
      </c>
      <c r="AC52" s="54">
        <v>44214</v>
      </c>
      <c r="AD52" s="60"/>
      <c r="AE52" s="35"/>
      <c r="AF52" s="36"/>
      <c r="AG52" s="61"/>
      <c r="AH52" s="60">
        <f>30000</f>
        <v>30000</v>
      </c>
      <c r="AI52" s="35">
        <v>9</v>
      </c>
      <c r="AJ52" s="61">
        <v>44244</v>
      </c>
      <c r="AK52" s="61">
        <v>44249</v>
      </c>
      <c r="AL52" s="60"/>
      <c r="AM52" s="35"/>
      <c r="AN52" s="61"/>
      <c r="AO52" s="61"/>
      <c r="AP52" s="60"/>
      <c r="AQ52" s="35"/>
      <c r="AR52" s="36"/>
      <c r="AS52" s="61"/>
      <c r="AT52" s="37">
        <f t="shared" si="3"/>
        <v>90000</v>
      </c>
      <c r="AU52" s="38">
        <f t="shared" si="4"/>
        <v>61723</v>
      </c>
    </row>
    <row r="53" spans="2:47" s="26" customFormat="1" ht="33.75" x14ac:dyDescent="0.25">
      <c r="B53" s="27">
        <v>38</v>
      </c>
      <c r="C53" s="27" t="s">
        <v>39</v>
      </c>
      <c r="D53" s="50">
        <f>+'[2]Planilla  2021'!$D44</f>
        <v>30483766</v>
      </c>
      <c r="E53" s="29" t="str">
        <f>+'[2]Planilla  2021'!$E44</f>
        <v>CONSTRUCCION MODIFICACIÓN DE CAUCE NATURAL CHORRILLO SIN NOMBRE, PUNTA ARENAS</v>
      </c>
      <c r="F53" s="51" t="str">
        <f>+'[2]Planilla  2021'!$G44</f>
        <v>Ejecución</v>
      </c>
      <c r="G53" s="30" t="s">
        <v>2291</v>
      </c>
      <c r="H53" s="30" t="str">
        <f>+'[2]Planilla  2021'!$K44</f>
        <v>PUNTA ARENAS</v>
      </c>
      <c r="I53" s="95" t="s">
        <v>57</v>
      </c>
      <c r="J53" s="31">
        <f>+'[2]Planilla  2021'!$AW44</f>
        <v>1026255</v>
      </c>
      <c r="K53" s="31">
        <f>+'[2]Planilla  2021'!$AK44</f>
        <v>306960</v>
      </c>
      <c r="L53" s="76">
        <f>+'[2]Planilla  2021'!$BJ44</f>
        <v>0</v>
      </c>
      <c r="M53" s="80">
        <v>29225</v>
      </c>
      <c r="N53" s="31"/>
      <c r="O53" s="81">
        <v>17036</v>
      </c>
      <c r="P53" s="80"/>
      <c r="Q53" s="31"/>
      <c r="R53" s="81"/>
      <c r="S53" s="80"/>
      <c r="T53" s="31"/>
      <c r="U53" s="81"/>
      <c r="V53" s="80"/>
      <c r="W53" s="31"/>
      <c r="X53" s="81"/>
      <c r="Y53" s="31">
        <f t="shared" si="2"/>
        <v>46261</v>
      </c>
      <c r="Z53" s="32">
        <v>719295</v>
      </c>
      <c r="AA53" s="33">
        <v>1</v>
      </c>
      <c r="AB53" s="34">
        <v>44207</v>
      </c>
      <c r="AC53" s="54">
        <v>44214</v>
      </c>
      <c r="AD53" s="60"/>
      <c r="AE53" s="35"/>
      <c r="AF53" s="36"/>
      <c r="AG53" s="61"/>
      <c r="AH53" s="60"/>
      <c r="AI53" s="35"/>
      <c r="AJ53" s="61"/>
      <c r="AK53" s="61"/>
      <c r="AL53" s="60"/>
      <c r="AM53" s="35"/>
      <c r="AN53" s="61"/>
      <c r="AO53" s="61"/>
      <c r="AP53" s="60"/>
      <c r="AQ53" s="35"/>
      <c r="AR53" s="36"/>
      <c r="AS53" s="61"/>
      <c r="AT53" s="37">
        <f t="shared" si="3"/>
        <v>719295</v>
      </c>
      <c r="AU53" s="38">
        <f t="shared" si="4"/>
        <v>673034</v>
      </c>
    </row>
    <row r="54" spans="2:47" s="26" customFormat="1" ht="22.5" x14ac:dyDescent="0.25">
      <c r="B54" s="27">
        <v>39</v>
      </c>
      <c r="C54" s="27" t="s">
        <v>39</v>
      </c>
      <c r="D54" s="50">
        <f>+'[2]Planilla  2021'!$D45</f>
        <v>30484501</v>
      </c>
      <c r="E54" s="29" t="str">
        <f>+'[2]Planilla  2021'!$E45</f>
        <v>MEJORAMIENTO DIVERSAS VÍAS SECTOR DOMINGO ESPIÑEIRA, PUNTA ARENAS</v>
      </c>
      <c r="F54" s="51" t="str">
        <f>+'[2]Planilla  2021'!$G45</f>
        <v>Diseño</v>
      </c>
      <c r="G54" s="30" t="s">
        <v>2291</v>
      </c>
      <c r="H54" s="30" t="str">
        <f>+'[2]Planilla  2021'!$K45</f>
        <v>PUNTA ARENAS</v>
      </c>
      <c r="I54" s="95" t="s">
        <v>57</v>
      </c>
      <c r="J54" s="31">
        <f>+'[2]Planilla  2021'!$AW45</f>
        <v>17164</v>
      </c>
      <c r="K54" s="31">
        <f>+'[2]Planilla  2021'!$AK45</f>
        <v>5731</v>
      </c>
      <c r="L54" s="76">
        <f>+'[2]Planilla  2021'!$BJ45</f>
        <v>0</v>
      </c>
      <c r="M54" s="80"/>
      <c r="N54" s="31"/>
      <c r="O54" s="81"/>
      <c r="P54" s="80"/>
      <c r="Q54" s="31"/>
      <c r="R54" s="81"/>
      <c r="S54" s="80"/>
      <c r="T54" s="31"/>
      <c r="U54" s="81"/>
      <c r="V54" s="80"/>
      <c r="W54" s="31"/>
      <c r="X54" s="81"/>
      <c r="Y54" s="31">
        <f t="shared" si="2"/>
        <v>0</v>
      </c>
      <c r="Z54" s="32">
        <v>11433</v>
      </c>
      <c r="AA54" s="33">
        <v>1</v>
      </c>
      <c r="AB54" s="34">
        <v>44207</v>
      </c>
      <c r="AC54" s="54">
        <v>44214</v>
      </c>
      <c r="AD54" s="60"/>
      <c r="AE54" s="35"/>
      <c r="AF54" s="36"/>
      <c r="AG54" s="61"/>
      <c r="AH54" s="60"/>
      <c r="AI54" s="35"/>
      <c r="AJ54" s="61"/>
      <c r="AK54" s="61"/>
      <c r="AL54" s="60"/>
      <c r="AM54" s="35"/>
      <c r="AN54" s="61"/>
      <c r="AO54" s="61"/>
      <c r="AP54" s="60"/>
      <c r="AQ54" s="35"/>
      <c r="AR54" s="36"/>
      <c r="AS54" s="61"/>
      <c r="AT54" s="37">
        <f t="shared" si="3"/>
        <v>11433</v>
      </c>
      <c r="AU54" s="38">
        <f t="shared" si="4"/>
        <v>11433</v>
      </c>
    </row>
    <row r="55" spans="2:47" s="26" customFormat="1" ht="22.5" x14ac:dyDescent="0.25">
      <c r="B55" s="27">
        <v>40</v>
      </c>
      <c r="C55" s="27" t="s">
        <v>39</v>
      </c>
      <c r="D55" s="50">
        <f>+'[2]Planilla  2021'!$D46</f>
        <v>30484512</v>
      </c>
      <c r="E55" s="29" t="str">
        <f>+'[2]Planilla  2021'!$E46</f>
        <v>CONSTRUCCION LOMAS DE BAQUEDANO 3ª ETAPA, PORVENIR</v>
      </c>
      <c r="F55" s="51" t="str">
        <f>+'[2]Planilla  2021'!$G46</f>
        <v>Ejecución</v>
      </c>
      <c r="G55" s="30" t="s">
        <v>2291</v>
      </c>
      <c r="H55" s="30" t="str">
        <f>+'[2]Planilla  2021'!$K46</f>
        <v>PORVENIR</v>
      </c>
      <c r="I55" s="95" t="s">
        <v>57</v>
      </c>
      <c r="J55" s="31">
        <f>+'[2]Planilla  2021'!$AW46</f>
        <v>1754993</v>
      </c>
      <c r="K55" s="31">
        <f>+'[2]Planilla  2021'!$AK46</f>
        <v>0</v>
      </c>
      <c r="L55" s="76">
        <f>+'[2]Planilla  2021'!$BJ46</f>
        <v>711873</v>
      </c>
      <c r="M55" s="80"/>
      <c r="N55" s="31"/>
      <c r="O55" s="81"/>
      <c r="P55" s="80"/>
      <c r="Q55" s="31"/>
      <c r="R55" s="81"/>
      <c r="S55" s="80"/>
      <c r="T55" s="31"/>
      <c r="U55" s="81"/>
      <c r="V55" s="80"/>
      <c r="W55" s="31"/>
      <c r="X55" s="81"/>
      <c r="Y55" s="31">
        <f t="shared" si="2"/>
        <v>0</v>
      </c>
      <c r="Z55" s="32">
        <v>106888</v>
      </c>
      <c r="AA55" s="33">
        <v>1</v>
      </c>
      <c r="AB55" s="34">
        <v>44207</v>
      </c>
      <c r="AC55" s="54">
        <v>44214</v>
      </c>
      <c r="AD55" s="60"/>
      <c r="AE55" s="35"/>
      <c r="AF55" s="36"/>
      <c r="AG55" s="61"/>
      <c r="AH55" s="60"/>
      <c r="AI55" s="35"/>
      <c r="AJ55" s="61"/>
      <c r="AK55" s="61"/>
      <c r="AL55" s="60"/>
      <c r="AM55" s="35"/>
      <c r="AN55" s="61"/>
      <c r="AO55" s="61"/>
      <c r="AP55" s="60"/>
      <c r="AQ55" s="35"/>
      <c r="AR55" s="36"/>
      <c r="AS55" s="61"/>
      <c r="AT55" s="37">
        <f t="shared" si="3"/>
        <v>106888</v>
      </c>
      <c r="AU55" s="38">
        <f t="shared" si="4"/>
        <v>106888</v>
      </c>
    </row>
    <row r="56" spans="2:47" s="26" customFormat="1" ht="22.5" x14ac:dyDescent="0.25">
      <c r="B56" s="27">
        <v>41</v>
      </c>
      <c r="C56" s="27" t="s">
        <v>39</v>
      </c>
      <c r="D56" s="50">
        <f>+'[2]Planilla  2021'!$D47</f>
        <v>30484519</v>
      </c>
      <c r="E56" s="29" t="str">
        <f>+'[2]Planilla  2021'!$E47</f>
        <v>MEJORAMIENTO CALLE MANUEL MENÉNDEZ, PUNTA ARENAS</v>
      </c>
      <c r="F56" s="51" t="str">
        <f>+'[2]Planilla  2021'!$G47</f>
        <v>Diseño</v>
      </c>
      <c r="G56" s="30" t="s">
        <v>2291</v>
      </c>
      <c r="H56" s="30" t="str">
        <f>+'[2]Planilla  2021'!$K47</f>
        <v>PUNTA ARENAS</v>
      </c>
      <c r="I56" s="95" t="s">
        <v>57</v>
      </c>
      <c r="J56" s="31">
        <f>+'[2]Planilla  2021'!$AW47</f>
        <v>28485</v>
      </c>
      <c r="K56" s="31">
        <f>+'[2]Planilla  2021'!$AK47</f>
        <v>21848</v>
      </c>
      <c r="L56" s="76">
        <f>+'[2]Planilla  2021'!$BJ47</f>
        <v>0</v>
      </c>
      <c r="M56" s="80"/>
      <c r="N56" s="31"/>
      <c r="O56" s="81"/>
      <c r="P56" s="80"/>
      <c r="Q56" s="31"/>
      <c r="R56" s="81"/>
      <c r="S56" s="80"/>
      <c r="T56" s="31"/>
      <c r="U56" s="81"/>
      <c r="V56" s="80"/>
      <c r="W56" s="31"/>
      <c r="X56" s="81"/>
      <c r="Y56" s="31">
        <f t="shared" si="2"/>
        <v>0</v>
      </c>
      <c r="Z56" s="32">
        <v>6637</v>
      </c>
      <c r="AA56" s="33">
        <v>1</v>
      </c>
      <c r="AB56" s="34">
        <v>44207</v>
      </c>
      <c r="AC56" s="54">
        <v>44214</v>
      </c>
      <c r="AD56" s="60"/>
      <c r="AE56" s="35"/>
      <c r="AF56" s="36"/>
      <c r="AG56" s="61"/>
      <c r="AH56" s="60"/>
      <c r="AI56" s="35"/>
      <c r="AJ56" s="61"/>
      <c r="AK56" s="61"/>
      <c r="AL56" s="60"/>
      <c r="AM56" s="35"/>
      <c r="AN56" s="61"/>
      <c r="AO56" s="61"/>
      <c r="AP56" s="60"/>
      <c r="AQ56" s="35"/>
      <c r="AR56" s="36"/>
      <c r="AS56" s="61"/>
      <c r="AT56" s="37">
        <f t="shared" si="3"/>
        <v>6637</v>
      </c>
      <c r="AU56" s="38">
        <f t="shared" si="4"/>
        <v>6637</v>
      </c>
    </row>
    <row r="57" spans="2:47" s="26" customFormat="1" ht="22.5" x14ac:dyDescent="0.25">
      <c r="B57" s="27">
        <v>42</v>
      </c>
      <c r="C57" s="27" t="s">
        <v>39</v>
      </c>
      <c r="D57" s="50">
        <f>+'[2]Planilla  2021'!$D48</f>
        <v>30484520</v>
      </c>
      <c r="E57" s="29" t="str">
        <f>+'[2]Planilla  2021'!$E48</f>
        <v>MEJORAMIENTO CALLE JOSÉ ASENCIO VERA, PUNTA ARENAS</v>
      </c>
      <c r="F57" s="51" t="str">
        <f>+'[2]Planilla  2021'!$G48</f>
        <v>Diseño</v>
      </c>
      <c r="G57" s="30" t="s">
        <v>2291</v>
      </c>
      <c r="H57" s="30" t="str">
        <f>+'[2]Planilla  2021'!$K48</f>
        <v>PUNTA ARENAS</v>
      </c>
      <c r="I57" s="95" t="s">
        <v>57</v>
      </c>
      <c r="J57" s="31">
        <f>+'[2]Planilla  2021'!$AW48</f>
        <v>24127</v>
      </c>
      <c r="K57" s="31">
        <f>+'[2]Planilla  2021'!$AK48</f>
        <v>18566</v>
      </c>
      <c r="L57" s="76">
        <f>+'[2]Planilla  2021'!$BJ48</f>
        <v>0</v>
      </c>
      <c r="M57" s="80"/>
      <c r="N57" s="31"/>
      <c r="O57" s="81"/>
      <c r="P57" s="80"/>
      <c r="Q57" s="31"/>
      <c r="R57" s="81"/>
      <c r="S57" s="80"/>
      <c r="T57" s="31"/>
      <c r="U57" s="81"/>
      <c r="V57" s="80"/>
      <c r="W57" s="31"/>
      <c r="X57" s="81"/>
      <c r="Y57" s="31">
        <f t="shared" si="2"/>
        <v>0</v>
      </c>
      <c r="Z57" s="32">
        <v>5561</v>
      </c>
      <c r="AA57" s="33">
        <v>1</v>
      </c>
      <c r="AB57" s="34">
        <v>44207</v>
      </c>
      <c r="AC57" s="54">
        <v>44214</v>
      </c>
      <c r="AD57" s="60"/>
      <c r="AE57" s="35"/>
      <c r="AF57" s="36"/>
      <c r="AG57" s="61"/>
      <c r="AH57" s="60"/>
      <c r="AI57" s="35"/>
      <c r="AJ57" s="61"/>
      <c r="AK57" s="61"/>
      <c r="AL57" s="60"/>
      <c r="AM57" s="35"/>
      <c r="AN57" s="61"/>
      <c r="AO57" s="61"/>
      <c r="AP57" s="60"/>
      <c r="AQ57" s="35"/>
      <c r="AR57" s="36"/>
      <c r="AS57" s="61"/>
      <c r="AT57" s="37">
        <f t="shared" si="3"/>
        <v>5561</v>
      </c>
      <c r="AU57" s="38">
        <f t="shared" si="4"/>
        <v>5561</v>
      </c>
    </row>
    <row r="58" spans="2:47" s="26" customFormat="1" ht="22.5" x14ac:dyDescent="0.25">
      <c r="B58" s="27">
        <v>43</v>
      </c>
      <c r="C58" s="27" t="s">
        <v>39</v>
      </c>
      <c r="D58" s="50">
        <f>+'[2]Planilla  2021'!$D49</f>
        <v>30484525</v>
      </c>
      <c r="E58" s="29" t="str">
        <f>+'[2]Planilla  2021'!$E49</f>
        <v>MEJORAMIENTO CALLE JOSE DIAZ BARRIA, PUNTA ARENAS</v>
      </c>
      <c r="F58" s="51" t="str">
        <f>+'[2]Planilla  2021'!$G49</f>
        <v>Diseño</v>
      </c>
      <c r="G58" s="30" t="s">
        <v>2291</v>
      </c>
      <c r="H58" s="30" t="str">
        <f>+'[2]Planilla  2021'!$K49</f>
        <v>PUNTA ARENAS</v>
      </c>
      <c r="I58" s="95" t="s">
        <v>57</v>
      </c>
      <c r="J58" s="31">
        <f>+'[2]Planilla  2021'!$AW49</f>
        <v>24158</v>
      </c>
      <c r="K58" s="31">
        <f>+'[2]Planilla  2021'!$AK49</f>
        <v>18567</v>
      </c>
      <c r="L58" s="76">
        <f>+'[2]Planilla  2021'!$BJ49</f>
        <v>0</v>
      </c>
      <c r="M58" s="80"/>
      <c r="N58" s="31"/>
      <c r="O58" s="81"/>
      <c r="P58" s="80"/>
      <c r="Q58" s="31"/>
      <c r="R58" s="81"/>
      <c r="S58" s="80"/>
      <c r="T58" s="31"/>
      <c r="U58" s="81"/>
      <c r="V58" s="80"/>
      <c r="W58" s="31"/>
      <c r="X58" s="81"/>
      <c r="Y58" s="31">
        <f t="shared" si="2"/>
        <v>0</v>
      </c>
      <c r="Z58" s="32">
        <v>5591</v>
      </c>
      <c r="AA58" s="33">
        <v>1</v>
      </c>
      <c r="AB58" s="34">
        <v>44207</v>
      </c>
      <c r="AC58" s="54">
        <v>44214</v>
      </c>
      <c r="AD58" s="60"/>
      <c r="AE58" s="35"/>
      <c r="AF58" s="36"/>
      <c r="AG58" s="61"/>
      <c r="AH58" s="60"/>
      <c r="AI58" s="35"/>
      <c r="AJ58" s="61"/>
      <c r="AK58" s="61"/>
      <c r="AL58" s="60"/>
      <c r="AM58" s="35"/>
      <c r="AN58" s="61"/>
      <c r="AO58" s="61"/>
      <c r="AP58" s="60"/>
      <c r="AQ58" s="35"/>
      <c r="AR58" s="36"/>
      <c r="AS58" s="61"/>
      <c r="AT58" s="37">
        <f t="shared" si="3"/>
        <v>5591</v>
      </c>
      <c r="AU58" s="38">
        <f t="shared" si="4"/>
        <v>5591</v>
      </c>
    </row>
    <row r="59" spans="2:47" s="26" customFormat="1" ht="22.5" x14ac:dyDescent="0.25">
      <c r="B59" s="27">
        <v>44</v>
      </c>
      <c r="C59" s="27" t="s">
        <v>39</v>
      </c>
      <c r="D59" s="50">
        <f>+'[2]Planilla  2021'!$D50</f>
        <v>30484992</v>
      </c>
      <c r="E59" s="29" t="str">
        <f>+'[2]Planilla  2021'!$E50</f>
        <v>CONSTRUCCIÓN RED DE GAS NATURAL, LOTEO VARILLAS, PUNTA ARENAS</v>
      </c>
      <c r="F59" s="51" t="str">
        <f>+'[2]Planilla  2021'!$G50</f>
        <v>Ejecución</v>
      </c>
      <c r="G59" s="30" t="s">
        <v>2291</v>
      </c>
      <c r="H59" s="30" t="str">
        <f>+'[2]Planilla  2021'!$K50</f>
        <v>PUNTA ARENAS</v>
      </c>
      <c r="I59" s="95" t="s">
        <v>57</v>
      </c>
      <c r="J59" s="31">
        <f>+'[2]Planilla  2021'!$AW50</f>
        <v>803851</v>
      </c>
      <c r="K59" s="31">
        <f>+'[2]Planilla  2021'!$AK50</f>
        <v>695793</v>
      </c>
      <c r="L59" s="76">
        <f>+'[2]Planilla  2021'!$BJ50</f>
        <v>0</v>
      </c>
      <c r="M59" s="80"/>
      <c r="N59" s="31"/>
      <c r="O59" s="81"/>
      <c r="P59" s="80"/>
      <c r="Q59" s="31"/>
      <c r="R59" s="81"/>
      <c r="S59" s="80"/>
      <c r="T59" s="31"/>
      <c r="U59" s="81"/>
      <c r="V59" s="80"/>
      <c r="W59" s="31"/>
      <c r="X59" s="81"/>
      <c r="Y59" s="31">
        <f t="shared" si="2"/>
        <v>0</v>
      </c>
      <c r="Z59" s="32">
        <v>108058</v>
      </c>
      <c r="AA59" s="33">
        <v>1</v>
      </c>
      <c r="AB59" s="34">
        <v>44207</v>
      </c>
      <c r="AC59" s="54">
        <v>44214</v>
      </c>
      <c r="AD59" s="60"/>
      <c r="AE59" s="35"/>
      <c r="AF59" s="36"/>
      <c r="AG59" s="61"/>
      <c r="AH59" s="60"/>
      <c r="AI59" s="35"/>
      <c r="AJ59" s="61"/>
      <c r="AK59" s="61"/>
      <c r="AL59" s="60"/>
      <c r="AM59" s="35"/>
      <c r="AN59" s="61"/>
      <c r="AO59" s="61"/>
      <c r="AP59" s="60"/>
      <c r="AQ59" s="35"/>
      <c r="AR59" s="36"/>
      <c r="AS59" s="61"/>
      <c r="AT59" s="37">
        <f t="shared" si="3"/>
        <v>108058</v>
      </c>
      <c r="AU59" s="38">
        <f t="shared" si="4"/>
        <v>108058</v>
      </c>
    </row>
    <row r="60" spans="2:47" s="26" customFormat="1" ht="22.5" x14ac:dyDescent="0.25">
      <c r="B60" s="27">
        <v>45</v>
      </c>
      <c r="C60" s="27" t="s">
        <v>39</v>
      </c>
      <c r="D60" s="50">
        <f>+'[2]Planilla  2021'!$D51</f>
        <v>30485766</v>
      </c>
      <c r="E60" s="29" t="str">
        <f>+'[2]Planilla  2021'!$E51</f>
        <v>MEJORAMIENTO DIVERSAS VÍAS SECTOR RÍO DE LA MANO ETAPA II, PUNTA ARENAS</v>
      </c>
      <c r="F60" s="51" t="str">
        <f>+'[2]Planilla  2021'!$G51</f>
        <v>Diseño</v>
      </c>
      <c r="G60" s="30" t="s">
        <v>2291</v>
      </c>
      <c r="H60" s="30" t="str">
        <f>+'[2]Planilla  2021'!$K51</f>
        <v>PUNTA ARENAS</v>
      </c>
      <c r="I60" s="95" t="s">
        <v>57</v>
      </c>
      <c r="J60" s="31">
        <f>+'[2]Planilla  2021'!$AW51</f>
        <v>28976</v>
      </c>
      <c r="K60" s="31">
        <f>+'[2]Planilla  2021'!$AK51</f>
        <v>22252</v>
      </c>
      <c r="L60" s="76">
        <f>+'[2]Planilla  2021'!$BJ51</f>
        <v>0</v>
      </c>
      <c r="M60" s="80"/>
      <c r="N60" s="31"/>
      <c r="O60" s="81"/>
      <c r="P60" s="80"/>
      <c r="Q60" s="31"/>
      <c r="R60" s="81"/>
      <c r="S60" s="80"/>
      <c r="T60" s="31"/>
      <c r="U60" s="81"/>
      <c r="V60" s="80"/>
      <c r="W60" s="31"/>
      <c r="X60" s="81"/>
      <c r="Y60" s="31">
        <f t="shared" si="2"/>
        <v>0</v>
      </c>
      <c r="Z60" s="32">
        <v>6724</v>
      </c>
      <c r="AA60" s="33">
        <v>1</v>
      </c>
      <c r="AB60" s="34">
        <v>44207</v>
      </c>
      <c r="AC60" s="54">
        <v>44214</v>
      </c>
      <c r="AD60" s="60"/>
      <c r="AE60" s="35"/>
      <c r="AF60" s="36"/>
      <c r="AG60" s="61"/>
      <c r="AH60" s="60"/>
      <c r="AI60" s="35"/>
      <c r="AJ60" s="61"/>
      <c r="AK60" s="61"/>
      <c r="AL60" s="60"/>
      <c r="AM60" s="35"/>
      <c r="AN60" s="61"/>
      <c r="AO60" s="61"/>
      <c r="AP60" s="60"/>
      <c r="AQ60" s="35"/>
      <c r="AR60" s="36"/>
      <c r="AS60" s="61"/>
      <c r="AT60" s="37">
        <f t="shared" si="3"/>
        <v>6724</v>
      </c>
      <c r="AU60" s="38">
        <f t="shared" si="4"/>
        <v>6724</v>
      </c>
    </row>
    <row r="61" spans="2:47" s="26" customFormat="1" ht="22.5" x14ac:dyDescent="0.25">
      <c r="B61" s="27">
        <v>46</v>
      </c>
      <c r="C61" s="27" t="s">
        <v>39</v>
      </c>
      <c r="D61" s="50">
        <f>+'[2]Planilla  2021'!$D52</f>
        <v>30486838</v>
      </c>
      <c r="E61" s="29" t="str">
        <f>+'[2]Planilla  2021'!$E52</f>
        <v>MEJORAMIENTO DIVERSAS VÍAS UNIDAD VECINAL MAURICIO BRAUN, PUNTA ARENAS</v>
      </c>
      <c r="F61" s="51" t="str">
        <f>+'[2]Planilla  2021'!$G52</f>
        <v>Diseño</v>
      </c>
      <c r="G61" s="30" t="s">
        <v>2291</v>
      </c>
      <c r="H61" s="30" t="str">
        <f>+'[2]Planilla  2021'!$K52</f>
        <v>PUNTA ARENAS</v>
      </c>
      <c r="I61" s="95" t="s">
        <v>57</v>
      </c>
      <c r="J61" s="31">
        <f>+'[2]Planilla  2021'!$AW52</f>
        <v>12014</v>
      </c>
      <c r="K61" s="31">
        <f>+'[2]Planilla  2021'!$AK52</f>
        <v>4232</v>
      </c>
      <c r="L61" s="76">
        <f>+'[2]Planilla  2021'!$BJ52</f>
        <v>0</v>
      </c>
      <c r="M61" s="80"/>
      <c r="N61" s="31"/>
      <c r="O61" s="81"/>
      <c r="P61" s="80"/>
      <c r="Q61" s="31"/>
      <c r="R61" s="81"/>
      <c r="S61" s="80"/>
      <c r="T61" s="31"/>
      <c r="U61" s="81"/>
      <c r="V61" s="80"/>
      <c r="W61" s="31"/>
      <c r="X61" s="81"/>
      <c r="Y61" s="31">
        <f t="shared" si="2"/>
        <v>0</v>
      </c>
      <c r="Z61" s="32">
        <v>7782</v>
      </c>
      <c r="AA61" s="33">
        <v>1</v>
      </c>
      <c r="AB61" s="34">
        <v>44207</v>
      </c>
      <c r="AC61" s="54">
        <v>44214</v>
      </c>
      <c r="AD61" s="60"/>
      <c r="AE61" s="35"/>
      <c r="AF61" s="36"/>
      <c r="AG61" s="61"/>
      <c r="AH61" s="60"/>
      <c r="AI61" s="35"/>
      <c r="AJ61" s="61"/>
      <c r="AK61" s="61"/>
      <c r="AL61" s="60"/>
      <c r="AM61" s="35"/>
      <c r="AN61" s="61"/>
      <c r="AO61" s="61"/>
      <c r="AP61" s="60"/>
      <c r="AQ61" s="35"/>
      <c r="AR61" s="36"/>
      <c r="AS61" s="61"/>
      <c r="AT61" s="37">
        <f t="shared" si="3"/>
        <v>7782</v>
      </c>
      <c r="AU61" s="38">
        <f t="shared" si="4"/>
        <v>7782</v>
      </c>
    </row>
    <row r="62" spans="2:47" s="26" customFormat="1" ht="22.5" x14ac:dyDescent="0.25">
      <c r="B62" s="27">
        <v>47</v>
      </c>
      <c r="C62" s="27" t="s">
        <v>39</v>
      </c>
      <c r="D62" s="50">
        <f>+'[2]Planilla  2021'!$D53</f>
        <v>30487243</v>
      </c>
      <c r="E62" s="29" t="str">
        <f>+'[2]Planilla  2021'!$E53</f>
        <v>CONSTRUCCION SALA CUNA Y JARDÍN INFANTIL CERRO CASTILLO</v>
      </c>
      <c r="F62" s="51" t="str">
        <f>+'[2]Planilla  2021'!$G53</f>
        <v>Ejecución</v>
      </c>
      <c r="G62" s="30" t="s">
        <v>2291</v>
      </c>
      <c r="H62" s="30" t="str">
        <f>+'[2]Planilla  2021'!$K53</f>
        <v>TORRES DEL PAINE</v>
      </c>
      <c r="I62" s="95" t="s">
        <v>57</v>
      </c>
      <c r="J62" s="31">
        <f>+'[2]Planilla  2021'!$AW53</f>
        <v>897661</v>
      </c>
      <c r="K62" s="31">
        <f>+'[2]Planilla  2021'!$AK53</f>
        <v>306443</v>
      </c>
      <c r="L62" s="76">
        <f>+'[2]Planilla  2021'!$BJ53</f>
        <v>0</v>
      </c>
      <c r="M62" s="80"/>
      <c r="N62" s="31">
        <v>35085</v>
      </c>
      <c r="O62" s="81">
        <v>110243</v>
      </c>
      <c r="P62" s="80"/>
      <c r="Q62" s="31"/>
      <c r="R62" s="81"/>
      <c r="S62" s="80"/>
      <c r="T62" s="31"/>
      <c r="U62" s="81"/>
      <c r="V62" s="80"/>
      <c r="W62" s="31"/>
      <c r="X62" s="81"/>
      <c r="Y62" s="31">
        <f t="shared" si="2"/>
        <v>145328</v>
      </c>
      <c r="Z62" s="32">
        <f>250000</f>
        <v>250000</v>
      </c>
      <c r="AA62" s="33">
        <v>1</v>
      </c>
      <c r="AB62" s="34">
        <v>44207</v>
      </c>
      <c r="AC62" s="54">
        <v>44214</v>
      </c>
      <c r="AD62" s="60"/>
      <c r="AE62" s="35"/>
      <c r="AF62" s="36"/>
      <c r="AG62" s="61"/>
      <c r="AH62" s="60">
        <f>200000</f>
        <v>200000</v>
      </c>
      <c r="AI62" s="35">
        <v>9</v>
      </c>
      <c r="AJ62" s="61">
        <v>44244</v>
      </c>
      <c r="AK62" s="61">
        <v>44249</v>
      </c>
      <c r="AL62" s="60"/>
      <c r="AM62" s="35"/>
      <c r="AN62" s="61"/>
      <c r="AO62" s="61"/>
      <c r="AP62" s="60"/>
      <c r="AQ62" s="35"/>
      <c r="AR62" s="36"/>
      <c r="AS62" s="61"/>
      <c r="AT62" s="37">
        <f t="shared" si="3"/>
        <v>450000</v>
      </c>
      <c r="AU62" s="38">
        <f t="shared" si="4"/>
        <v>304672</v>
      </c>
    </row>
    <row r="63" spans="2:47" s="26" customFormat="1" ht="22.5" x14ac:dyDescent="0.25">
      <c r="B63" s="27">
        <v>48</v>
      </c>
      <c r="C63" s="27" t="s">
        <v>39</v>
      </c>
      <c r="D63" s="50">
        <f>+'[2]Planilla  2021'!$D54</f>
        <v>40000590</v>
      </c>
      <c r="E63" s="29" t="str">
        <f>+'[2]Planilla  2021'!$E54</f>
        <v>CONSTRUCCION SALUD MENTAL Y GERIATRÍA, COMUNA PUNTA ARENAS</v>
      </c>
      <c r="F63" s="51" t="str">
        <f>+'[2]Planilla  2021'!$G54</f>
        <v>Ejecución</v>
      </c>
      <c r="G63" s="30" t="s">
        <v>2291</v>
      </c>
      <c r="H63" s="30" t="str">
        <f>+'[2]Planilla  2021'!$K54</f>
        <v>PUNTA ARENAS</v>
      </c>
      <c r="I63" s="95" t="s">
        <v>57</v>
      </c>
      <c r="J63" s="31">
        <f>+'[2]Planilla  2021'!$AW54</f>
        <v>26068089</v>
      </c>
      <c r="K63" s="31">
        <f>+'[2]Planilla  2021'!$AK54</f>
        <v>0</v>
      </c>
      <c r="L63" s="76">
        <f>+'[2]Planilla  2021'!$BJ54</f>
        <v>4730590</v>
      </c>
      <c r="M63" s="80"/>
      <c r="N63" s="31"/>
      <c r="O63" s="81"/>
      <c r="P63" s="80"/>
      <c r="Q63" s="31"/>
      <c r="R63" s="81"/>
      <c r="S63" s="80"/>
      <c r="T63" s="31"/>
      <c r="U63" s="81"/>
      <c r="V63" s="80"/>
      <c r="W63" s="31"/>
      <c r="X63" s="81"/>
      <c r="Y63" s="31">
        <f t="shared" si="2"/>
        <v>0</v>
      </c>
      <c r="Z63" s="32">
        <v>1</v>
      </c>
      <c r="AA63" s="33">
        <v>1</v>
      </c>
      <c r="AB63" s="34">
        <v>44207</v>
      </c>
      <c r="AC63" s="54">
        <v>44214</v>
      </c>
      <c r="AD63" s="60"/>
      <c r="AE63" s="35"/>
      <c r="AF63" s="36"/>
      <c r="AG63" s="61"/>
      <c r="AH63" s="60"/>
      <c r="AI63" s="35"/>
      <c r="AJ63" s="61"/>
      <c r="AK63" s="61"/>
      <c r="AL63" s="60"/>
      <c r="AM63" s="35"/>
      <c r="AN63" s="61"/>
      <c r="AO63" s="61"/>
      <c r="AP63" s="60"/>
      <c r="AQ63" s="35"/>
      <c r="AR63" s="36"/>
      <c r="AS63" s="61"/>
      <c r="AT63" s="37">
        <f t="shared" si="3"/>
        <v>1</v>
      </c>
      <c r="AU63" s="38">
        <f t="shared" si="4"/>
        <v>1</v>
      </c>
    </row>
    <row r="64" spans="2:47" s="26" customFormat="1" ht="33.75" customHeight="1" x14ac:dyDescent="0.25">
      <c r="B64" s="27">
        <v>49</v>
      </c>
      <c r="C64" s="27" t="s">
        <v>39</v>
      </c>
      <c r="D64" s="50">
        <f>+'[2]Planilla  2021'!$D55</f>
        <v>40001037</v>
      </c>
      <c r="E64" s="29" t="str">
        <f>+'[2]Planilla  2021'!$E55</f>
        <v>REPOSICION RED ALCANTARILLADO Y CONSTRUCCIÓN P.T.A.S., VILLA PUNTA DELGADA</v>
      </c>
      <c r="F64" s="51" t="str">
        <f>+'[2]Planilla  2021'!$G55</f>
        <v>Ejecución</v>
      </c>
      <c r="G64" s="30" t="s">
        <v>2291</v>
      </c>
      <c r="H64" s="30" t="str">
        <f>+'[2]Planilla  2021'!$K55</f>
        <v>SAN GREGORIO</v>
      </c>
      <c r="I64" s="95" t="s">
        <v>57</v>
      </c>
      <c r="J64" s="31">
        <f>+'[2]Planilla  2021'!$AW55</f>
        <v>1893019</v>
      </c>
      <c r="K64" s="31">
        <f>+'[2]Planilla  2021'!$AK55</f>
        <v>525</v>
      </c>
      <c r="L64" s="76">
        <f>+'[2]Planilla  2021'!$BJ55</f>
        <v>318715</v>
      </c>
      <c r="M64" s="80"/>
      <c r="N64" s="31">
        <v>35931</v>
      </c>
      <c r="O64" s="81">
        <v>80682</v>
      </c>
      <c r="P64" s="80"/>
      <c r="Q64" s="31"/>
      <c r="R64" s="81"/>
      <c r="S64" s="80"/>
      <c r="T64" s="31"/>
      <c r="U64" s="81"/>
      <c r="V64" s="80"/>
      <c r="W64" s="31"/>
      <c r="X64" s="81"/>
      <c r="Y64" s="31">
        <f t="shared" si="2"/>
        <v>116613</v>
      </c>
      <c r="Z64" s="32">
        <f>350000</f>
        <v>350000</v>
      </c>
      <c r="AA64" s="33">
        <v>1</v>
      </c>
      <c r="AB64" s="34">
        <v>44207</v>
      </c>
      <c r="AC64" s="54">
        <v>44214</v>
      </c>
      <c r="AD64" s="60"/>
      <c r="AE64" s="35"/>
      <c r="AF64" s="36"/>
      <c r="AG64" s="61"/>
      <c r="AH64" s="60">
        <v>254372</v>
      </c>
      <c r="AI64" s="35">
        <v>9</v>
      </c>
      <c r="AJ64" s="61">
        <v>44244</v>
      </c>
      <c r="AK64" s="61">
        <v>44249</v>
      </c>
      <c r="AL64" s="60">
        <f>255933</f>
        <v>255933</v>
      </c>
      <c r="AM64" s="35">
        <v>13</v>
      </c>
      <c r="AN64" s="61">
        <v>44277</v>
      </c>
      <c r="AO64" s="61">
        <v>44281</v>
      </c>
      <c r="AP64" s="60"/>
      <c r="AQ64" s="35"/>
      <c r="AR64" s="36"/>
      <c r="AS64" s="61"/>
      <c r="AT64" s="37">
        <f t="shared" si="3"/>
        <v>860305</v>
      </c>
      <c r="AU64" s="38">
        <f t="shared" si="4"/>
        <v>743692</v>
      </c>
    </row>
    <row r="65" spans="2:47" s="26" customFormat="1" ht="33.75" x14ac:dyDescent="0.25">
      <c r="B65" s="27">
        <v>50</v>
      </c>
      <c r="C65" s="27" t="s">
        <v>39</v>
      </c>
      <c r="D65" s="50">
        <f>+'[2]Planilla  2021'!$D56</f>
        <v>40001293</v>
      </c>
      <c r="E65" s="29" t="str">
        <f>+'[2]Planilla  2021'!$E56</f>
        <v>CONSTRUCCION SISTEMA DE AGUA POTABLE RURAL LOTEO VRSALOVIC Y OJO BUENO, PUNTA ARENAS</v>
      </c>
      <c r="F65" s="51" t="str">
        <f>+'[2]Planilla  2021'!$G56</f>
        <v>Ejecución</v>
      </c>
      <c r="G65" s="30" t="s">
        <v>2291</v>
      </c>
      <c r="H65" s="30" t="str">
        <f>+'[2]Planilla  2021'!$K56</f>
        <v>PUNTA ARENAS</v>
      </c>
      <c r="I65" s="95" t="s">
        <v>57</v>
      </c>
      <c r="J65" s="31">
        <f>+'[2]Planilla  2021'!$AW56</f>
        <v>7630696</v>
      </c>
      <c r="K65" s="31">
        <f>+'[2]Planilla  2021'!$AK56</f>
        <v>3708483</v>
      </c>
      <c r="L65" s="76">
        <f>+'[2]Planilla  2021'!$BJ56</f>
        <v>0</v>
      </c>
      <c r="M65" s="80">
        <v>194187</v>
      </c>
      <c r="N65" s="31"/>
      <c r="O65" s="81">
        <v>176843</v>
      </c>
      <c r="P65" s="80"/>
      <c r="Q65" s="31"/>
      <c r="R65" s="81"/>
      <c r="S65" s="80"/>
      <c r="T65" s="31"/>
      <c r="U65" s="81"/>
      <c r="V65" s="80"/>
      <c r="W65" s="31"/>
      <c r="X65" s="81"/>
      <c r="Y65" s="31">
        <f t="shared" si="2"/>
        <v>371030</v>
      </c>
      <c r="Z65" s="32">
        <v>1313066</v>
      </c>
      <c r="AA65" s="33">
        <v>1</v>
      </c>
      <c r="AB65" s="34">
        <v>44207</v>
      </c>
      <c r="AC65" s="54">
        <v>44214</v>
      </c>
      <c r="AD65" s="60"/>
      <c r="AE65" s="35"/>
      <c r="AF65" s="36"/>
      <c r="AG65" s="61"/>
      <c r="AH65" s="60"/>
      <c r="AI65" s="35"/>
      <c r="AJ65" s="61"/>
      <c r="AK65" s="61"/>
      <c r="AL65" s="60"/>
      <c r="AM65" s="35"/>
      <c r="AN65" s="61"/>
      <c r="AO65" s="61"/>
      <c r="AP65" s="60"/>
      <c r="AQ65" s="35"/>
      <c r="AR65" s="36"/>
      <c r="AS65" s="61"/>
      <c r="AT65" s="37">
        <f t="shared" si="3"/>
        <v>1313066</v>
      </c>
      <c r="AU65" s="38">
        <f t="shared" si="4"/>
        <v>942036</v>
      </c>
    </row>
    <row r="66" spans="2:47" s="26" customFormat="1" ht="22.5" x14ac:dyDescent="0.25">
      <c r="B66" s="27">
        <v>51</v>
      </c>
      <c r="C66" s="27" t="s">
        <v>39</v>
      </c>
      <c r="D66" s="50">
        <f>+'[2]Planilla  2021'!$D57</f>
        <v>40001567</v>
      </c>
      <c r="E66" s="29" t="str">
        <f>+'[2]Planilla  2021'!$E57</f>
        <v>HABILITACION residencial para jóvenes, PUNTA ARENAS</v>
      </c>
      <c r="F66" s="51" t="str">
        <f>+'[2]Planilla  2021'!$G57</f>
        <v>Ejecución</v>
      </c>
      <c r="G66" s="30" t="s">
        <v>2291</v>
      </c>
      <c r="H66" s="30" t="str">
        <f>+'[2]Planilla  2021'!$K57</f>
        <v>PUNTA ARENAS</v>
      </c>
      <c r="I66" s="95" t="s">
        <v>57</v>
      </c>
      <c r="J66" s="31">
        <f>+'[2]Planilla  2021'!$AW57</f>
        <v>642492</v>
      </c>
      <c r="K66" s="31">
        <f>+'[2]Planilla  2021'!$AK57</f>
        <v>572124</v>
      </c>
      <c r="L66" s="76">
        <f>+'[2]Planilla  2021'!$BJ57</f>
        <v>1</v>
      </c>
      <c r="M66" s="80"/>
      <c r="N66" s="31">
        <v>1325</v>
      </c>
      <c r="O66" s="81">
        <v>1829</v>
      </c>
      <c r="P66" s="80"/>
      <c r="Q66" s="31"/>
      <c r="R66" s="81"/>
      <c r="S66" s="80"/>
      <c r="T66" s="31"/>
      <c r="U66" s="81"/>
      <c r="V66" s="80"/>
      <c r="W66" s="31"/>
      <c r="X66" s="81"/>
      <c r="Y66" s="31">
        <f t="shared" si="2"/>
        <v>3154</v>
      </c>
      <c r="Z66" s="32">
        <f>37301</f>
        <v>37301</v>
      </c>
      <c r="AA66" s="33">
        <v>1</v>
      </c>
      <c r="AB66" s="34">
        <v>44207</v>
      </c>
      <c r="AC66" s="54">
        <v>44214</v>
      </c>
      <c r="AD66" s="60"/>
      <c r="AE66" s="35"/>
      <c r="AF66" s="36"/>
      <c r="AG66" s="61"/>
      <c r="AH66" s="60">
        <f>2161</f>
        <v>2161</v>
      </c>
      <c r="AI66" s="35">
        <v>9</v>
      </c>
      <c r="AJ66" s="61">
        <v>44244</v>
      </c>
      <c r="AK66" s="61">
        <v>44249</v>
      </c>
      <c r="AL66" s="60"/>
      <c r="AM66" s="35"/>
      <c r="AN66" s="61"/>
      <c r="AO66" s="61"/>
      <c r="AP66" s="60"/>
      <c r="AQ66" s="35"/>
      <c r="AR66" s="36"/>
      <c r="AS66" s="61"/>
      <c r="AT66" s="37">
        <f t="shared" si="3"/>
        <v>39462</v>
      </c>
      <c r="AU66" s="38">
        <f t="shared" si="4"/>
        <v>36308</v>
      </c>
    </row>
    <row r="67" spans="2:47" s="26" customFormat="1" ht="33.75" customHeight="1" x14ac:dyDescent="0.25">
      <c r="B67" s="27">
        <v>52</v>
      </c>
      <c r="C67" s="27" t="s">
        <v>39</v>
      </c>
      <c r="D67" s="50">
        <f>+'[2]Planilla  2021'!$D58</f>
        <v>40019277</v>
      </c>
      <c r="E67" s="29" t="str">
        <f>+'[2]Planilla  2021'!$E58</f>
        <v>REPOSICION SISTEMA DE ABASTECIMIENTO AGUA POTABLE RURAL VILLA CAMERON, TIMAUKEL</v>
      </c>
      <c r="F67" s="51" t="str">
        <f>+'[2]Planilla  2021'!$G58</f>
        <v>Ejecución</v>
      </c>
      <c r="G67" s="30" t="s">
        <v>2291</v>
      </c>
      <c r="H67" s="30" t="str">
        <f>+'[2]Planilla  2021'!$K58</f>
        <v>TIMAUKEL</v>
      </c>
      <c r="I67" s="95" t="s">
        <v>72</v>
      </c>
      <c r="J67" s="31">
        <f>+'[2]Planilla  2021'!$AW58</f>
        <v>862646</v>
      </c>
      <c r="K67" s="31">
        <f>+'[2]Planilla  2021'!$AK58</f>
        <v>0</v>
      </c>
      <c r="L67" s="76">
        <f>+'[2]Planilla  2021'!$BJ58</f>
        <v>0</v>
      </c>
      <c r="M67" s="80"/>
      <c r="N67" s="31"/>
      <c r="O67" s="81"/>
      <c r="P67" s="80"/>
      <c r="Q67" s="31"/>
      <c r="R67" s="81"/>
      <c r="S67" s="80"/>
      <c r="T67" s="31"/>
      <c r="U67" s="81"/>
      <c r="V67" s="80"/>
      <c r="W67" s="31"/>
      <c r="X67" s="81"/>
      <c r="Y67" s="31">
        <f t="shared" si="2"/>
        <v>0</v>
      </c>
      <c r="Z67" s="32">
        <v>862646</v>
      </c>
      <c r="AA67" s="33">
        <v>1</v>
      </c>
      <c r="AB67" s="34">
        <v>44207</v>
      </c>
      <c r="AC67" s="54">
        <v>44214</v>
      </c>
      <c r="AD67" s="60"/>
      <c r="AE67" s="35"/>
      <c r="AF67" s="36"/>
      <c r="AG67" s="61"/>
      <c r="AH67" s="60"/>
      <c r="AI67" s="35"/>
      <c r="AJ67" s="36"/>
      <c r="AK67" s="61"/>
      <c r="AL67" s="60"/>
      <c r="AM67" s="35"/>
      <c r="AN67" s="61"/>
      <c r="AO67" s="61"/>
      <c r="AP67" s="60"/>
      <c r="AQ67" s="35"/>
      <c r="AR67" s="36"/>
      <c r="AS67" s="61"/>
      <c r="AT67" s="37">
        <f t="shared" si="3"/>
        <v>862646</v>
      </c>
      <c r="AU67" s="38">
        <f t="shared" si="4"/>
        <v>862646</v>
      </c>
    </row>
    <row r="68" spans="2:47" s="26" customFormat="1" ht="22.5" x14ac:dyDescent="0.25">
      <c r="B68" s="27">
        <v>53</v>
      </c>
      <c r="C68" s="27" t="s">
        <v>39</v>
      </c>
      <c r="D68" s="50">
        <f>+'[2]Planilla  2021'!$D59</f>
        <v>40003654</v>
      </c>
      <c r="E68" s="29" t="str">
        <f>+'[2]Planilla  2021'!$E59</f>
        <v>REPOSICION DIVERSAS VEREDAS BARRIO SAN MIGUEL Y BARRIO SUR, PUNTA ARENAS</v>
      </c>
      <c r="F68" s="51" t="str">
        <f>+'[2]Planilla  2021'!$G59</f>
        <v>Ejecución</v>
      </c>
      <c r="G68" s="30" t="s">
        <v>2291</v>
      </c>
      <c r="H68" s="30" t="str">
        <f>+'[2]Planilla  2021'!$K59</f>
        <v>PUNTA ARENAS</v>
      </c>
      <c r="I68" s="95" t="s">
        <v>57</v>
      </c>
      <c r="J68" s="31">
        <f>+'[2]Planilla  2021'!$AW59</f>
        <v>1660998</v>
      </c>
      <c r="K68" s="31">
        <f>+'[2]Planilla  2021'!$AK59</f>
        <v>81874</v>
      </c>
      <c r="L68" s="76">
        <f>+'[2]Planilla  2021'!$BJ59</f>
        <v>0</v>
      </c>
      <c r="M68" s="80">
        <v>108466</v>
      </c>
      <c r="N68" s="31">
        <v>162300</v>
      </c>
      <c r="O68" s="81">
        <v>184089</v>
      </c>
      <c r="P68" s="80"/>
      <c r="Q68" s="31"/>
      <c r="R68" s="81"/>
      <c r="S68" s="80"/>
      <c r="T68" s="31"/>
      <c r="U68" s="81"/>
      <c r="V68" s="80"/>
      <c r="W68" s="31"/>
      <c r="X68" s="81"/>
      <c r="Y68" s="31">
        <f t="shared" si="2"/>
        <v>454855</v>
      </c>
      <c r="Z68" s="32">
        <f>574569</f>
        <v>574569</v>
      </c>
      <c r="AA68" s="33">
        <v>1</v>
      </c>
      <c r="AB68" s="34">
        <v>44207</v>
      </c>
      <c r="AC68" s="54">
        <v>44214</v>
      </c>
      <c r="AD68" s="60"/>
      <c r="AE68" s="35"/>
      <c r="AF68" s="36"/>
      <c r="AG68" s="61"/>
      <c r="AH68" s="60"/>
      <c r="AI68" s="35"/>
      <c r="AJ68" s="36"/>
      <c r="AK68" s="61"/>
      <c r="AL68" s="60">
        <f>470000</f>
        <v>470000</v>
      </c>
      <c r="AM68" s="35">
        <v>13</v>
      </c>
      <c r="AN68" s="61">
        <v>44277</v>
      </c>
      <c r="AO68" s="61">
        <v>44281</v>
      </c>
      <c r="AP68" s="60"/>
      <c r="AQ68" s="35"/>
      <c r="AR68" s="36"/>
      <c r="AS68" s="61"/>
      <c r="AT68" s="37">
        <f t="shared" si="3"/>
        <v>1044569</v>
      </c>
      <c r="AU68" s="38">
        <f t="shared" si="4"/>
        <v>589714</v>
      </c>
    </row>
    <row r="69" spans="2:47" s="26" customFormat="1" ht="22.5" x14ac:dyDescent="0.25">
      <c r="B69" s="27">
        <v>54</v>
      </c>
      <c r="C69" s="27" t="s">
        <v>39</v>
      </c>
      <c r="D69" s="50">
        <f>+'[2]Planilla  2021'!$D60</f>
        <v>40005912</v>
      </c>
      <c r="E69" s="29" t="str">
        <f>+'[2]Planilla  2021'!$E60</f>
        <v>CONSTRUCCION RED DE SEMAFOROS Y SINCRONISMOS CIUDAD DE PUNTA ARENAS</v>
      </c>
      <c r="F69" s="51" t="str">
        <f>+'[2]Planilla  2021'!$G60</f>
        <v>Ejecución</v>
      </c>
      <c r="G69" s="30" t="s">
        <v>2291</v>
      </c>
      <c r="H69" s="30" t="str">
        <f>+'[2]Planilla  2021'!$K60</f>
        <v>PUNTA ARENAS</v>
      </c>
      <c r="I69" s="95" t="s">
        <v>57</v>
      </c>
      <c r="J69" s="31">
        <f>+'[2]Planilla  2021'!$AW60</f>
        <v>2605269</v>
      </c>
      <c r="K69" s="31">
        <f>+'[2]Planilla  2021'!$AK60</f>
        <v>0</v>
      </c>
      <c r="L69" s="76">
        <f>+'[2]Planilla  2021'!$BJ60</f>
        <v>2253725</v>
      </c>
      <c r="M69" s="80"/>
      <c r="N69" s="31"/>
      <c r="O69" s="81"/>
      <c r="P69" s="80"/>
      <c r="Q69" s="31"/>
      <c r="R69" s="81"/>
      <c r="S69" s="80"/>
      <c r="T69" s="31"/>
      <c r="U69" s="81"/>
      <c r="V69" s="80"/>
      <c r="W69" s="31"/>
      <c r="X69" s="81"/>
      <c r="Y69" s="31">
        <f t="shared" si="2"/>
        <v>0</v>
      </c>
      <c r="Z69" s="32">
        <v>351544</v>
      </c>
      <c r="AA69" s="33">
        <v>1</v>
      </c>
      <c r="AB69" s="34">
        <v>44207</v>
      </c>
      <c r="AC69" s="54">
        <v>44214</v>
      </c>
      <c r="AD69" s="60"/>
      <c r="AE69" s="35"/>
      <c r="AF69" s="36"/>
      <c r="AG69" s="61"/>
      <c r="AH69" s="60"/>
      <c r="AI69" s="35"/>
      <c r="AJ69" s="36"/>
      <c r="AK69" s="61"/>
      <c r="AL69" s="60"/>
      <c r="AM69" s="35"/>
      <c r="AN69" s="61"/>
      <c r="AO69" s="61"/>
      <c r="AP69" s="60"/>
      <c r="AQ69" s="35"/>
      <c r="AR69" s="36"/>
      <c r="AS69" s="61"/>
      <c r="AT69" s="37">
        <f t="shared" si="3"/>
        <v>351544</v>
      </c>
      <c r="AU69" s="38">
        <f t="shared" si="4"/>
        <v>351544</v>
      </c>
    </row>
    <row r="70" spans="2:47" s="26" customFormat="1" ht="22.5" x14ac:dyDescent="0.25">
      <c r="B70" s="27">
        <v>55</v>
      </c>
      <c r="C70" s="27" t="s">
        <v>39</v>
      </c>
      <c r="D70" s="50">
        <f>+'[2]Planilla  2021'!$D61</f>
        <v>40006570</v>
      </c>
      <c r="E70" s="29" t="str">
        <f>+'[2]Planilla  2021'!$E61</f>
        <v>MEJORAMIENTO DIVERSAS CALLES SECTOR CENTRO-SUR, PUNTA ARENAS</v>
      </c>
      <c r="F70" s="51" t="str">
        <f>+'[2]Planilla  2021'!$G61</f>
        <v>Ejecución</v>
      </c>
      <c r="G70" s="30" t="s">
        <v>2291</v>
      </c>
      <c r="H70" s="30" t="str">
        <f>+'[2]Planilla  2021'!$K61</f>
        <v>PUNTA ARENAS</v>
      </c>
      <c r="I70" s="95" t="s">
        <v>57</v>
      </c>
      <c r="J70" s="31">
        <f>+'[2]Planilla  2021'!$AW61</f>
        <v>359975</v>
      </c>
      <c r="K70" s="31">
        <f>+'[2]Planilla  2021'!$AK61</f>
        <v>843</v>
      </c>
      <c r="L70" s="76">
        <f>+'[2]Planilla  2021'!$BJ61</f>
        <v>0</v>
      </c>
      <c r="M70" s="80">
        <v>13949</v>
      </c>
      <c r="N70" s="31">
        <v>52311</v>
      </c>
      <c r="O70" s="81">
        <v>112092</v>
      </c>
      <c r="P70" s="80"/>
      <c r="Q70" s="31"/>
      <c r="R70" s="81"/>
      <c r="S70" s="80"/>
      <c r="T70" s="31"/>
      <c r="U70" s="81"/>
      <c r="V70" s="80"/>
      <c r="W70" s="31"/>
      <c r="X70" s="81"/>
      <c r="Y70" s="31">
        <f t="shared" si="2"/>
        <v>178352</v>
      </c>
      <c r="Z70" s="32">
        <f>150000</f>
        <v>150000</v>
      </c>
      <c r="AA70" s="33">
        <v>1</v>
      </c>
      <c r="AB70" s="34">
        <v>44207</v>
      </c>
      <c r="AC70" s="54">
        <v>44214</v>
      </c>
      <c r="AD70" s="60"/>
      <c r="AE70" s="35"/>
      <c r="AF70" s="36"/>
      <c r="AG70" s="61"/>
      <c r="AH70" s="60"/>
      <c r="AI70" s="35"/>
      <c r="AJ70" s="36"/>
      <c r="AK70" s="61"/>
      <c r="AL70" s="60">
        <f>180000</f>
        <v>180000</v>
      </c>
      <c r="AM70" s="35">
        <v>13</v>
      </c>
      <c r="AN70" s="61">
        <v>44277</v>
      </c>
      <c r="AO70" s="61">
        <v>44281</v>
      </c>
      <c r="AP70" s="60"/>
      <c r="AQ70" s="35"/>
      <c r="AR70" s="36"/>
      <c r="AS70" s="61"/>
      <c r="AT70" s="37">
        <f t="shared" si="3"/>
        <v>330000</v>
      </c>
      <c r="AU70" s="38">
        <f t="shared" si="4"/>
        <v>151648</v>
      </c>
    </row>
    <row r="71" spans="2:47" s="26" customFormat="1" ht="22.5" x14ac:dyDescent="0.25">
      <c r="B71" s="27">
        <v>56</v>
      </c>
      <c r="C71" s="27" t="s">
        <v>39</v>
      </c>
      <c r="D71" s="50">
        <f>+'[2]Planilla  2021'!$D62</f>
        <v>40008161</v>
      </c>
      <c r="E71" s="29" t="str">
        <f>+'[2]Planilla  2021'!$E62</f>
        <v>CONSTRUCCION URBANIZACION LOTEOS FSEV 2017 SECTOR SUR PUNTA ARENAS</v>
      </c>
      <c r="F71" s="51" t="str">
        <f>+'[2]Planilla  2021'!$G62</f>
        <v>Ejecución</v>
      </c>
      <c r="G71" s="30" t="s">
        <v>2291</v>
      </c>
      <c r="H71" s="30" t="str">
        <f>+'[2]Planilla  2021'!$K62</f>
        <v>PUNTA ARENAS</v>
      </c>
      <c r="I71" s="95" t="s">
        <v>57</v>
      </c>
      <c r="J71" s="31">
        <f>+'[2]Planilla  2021'!$AW62</f>
        <v>4687510</v>
      </c>
      <c r="K71" s="31">
        <f>+'[2]Planilla  2021'!$AK62</f>
        <v>1049</v>
      </c>
      <c r="L71" s="76">
        <f>+'[2]Planilla  2021'!$BJ62</f>
        <v>1390153</v>
      </c>
      <c r="M71" s="80"/>
      <c r="N71" s="31"/>
      <c r="O71" s="81"/>
      <c r="P71" s="80"/>
      <c r="Q71" s="31"/>
      <c r="R71" s="81"/>
      <c r="S71" s="80"/>
      <c r="T71" s="31"/>
      <c r="U71" s="81"/>
      <c r="V71" s="80"/>
      <c r="W71" s="31"/>
      <c r="X71" s="81"/>
      <c r="Y71" s="31">
        <f t="shared" si="2"/>
        <v>0</v>
      </c>
      <c r="Z71" s="32">
        <v>291527</v>
      </c>
      <c r="AA71" s="33">
        <v>1</v>
      </c>
      <c r="AB71" s="34">
        <v>44207</v>
      </c>
      <c r="AC71" s="54">
        <v>44214</v>
      </c>
      <c r="AD71" s="60"/>
      <c r="AE71" s="35"/>
      <c r="AF71" s="36"/>
      <c r="AG71" s="61"/>
      <c r="AH71" s="60"/>
      <c r="AI71" s="35"/>
      <c r="AJ71" s="36"/>
      <c r="AK71" s="61"/>
      <c r="AL71" s="60"/>
      <c r="AM71" s="35"/>
      <c r="AN71" s="61"/>
      <c r="AO71" s="61"/>
      <c r="AP71" s="60"/>
      <c r="AQ71" s="35"/>
      <c r="AR71" s="36"/>
      <c r="AS71" s="61"/>
      <c r="AT71" s="37">
        <f t="shared" si="3"/>
        <v>291527</v>
      </c>
      <c r="AU71" s="38">
        <f t="shared" si="4"/>
        <v>291527</v>
      </c>
    </row>
    <row r="72" spans="2:47" s="26" customFormat="1" ht="22.5" x14ac:dyDescent="0.25">
      <c r="B72" s="27">
        <v>57</v>
      </c>
      <c r="C72" s="27" t="s">
        <v>39</v>
      </c>
      <c r="D72" s="50">
        <f>+'[2]Planilla  2021'!$D63</f>
        <v>40009998</v>
      </c>
      <c r="E72" s="29" t="str">
        <f>+'[2]Planilla  2021'!$E63</f>
        <v>REPOSICION VEREDAS UNIDAD VECINAL Nº 28 CERRO DE LA CRUZ PUNTA ARENAS</v>
      </c>
      <c r="F72" s="51" t="str">
        <f>+'[2]Planilla  2021'!$G63</f>
        <v>Diseño</v>
      </c>
      <c r="G72" s="30" t="s">
        <v>2291</v>
      </c>
      <c r="H72" s="30" t="str">
        <f>+'[2]Planilla  2021'!$K63</f>
        <v>PUNTA ARENAS</v>
      </c>
      <c r="I72" s="95" t="s">
        <v>57</v>
      </c>
      <c r="J72" s="31">
        <f>+'[2]Planilla  2021'!$AW63</f>
        <v>86087</v>
      </c>
      <c r="K72" s="31">
        <f>+'[2]Planilla  2021'!$AK63</f>
        <v>0</v>
      </c>
      <c r="L72" s="76">
        <f>+'[2]Planilla  2021'!$BJ63</f>
        <v>0</v>
      </c>
      <c r="M72" s="80"/>
      <c r="N72" s="31"/>
      <c r="O72" s="81"/>
      <c r="P72" s="80"/>
      <c r="Q72" s="31"/>
      <c r="R72" s="81"/>
      <c r="S72" s="80"/>
      <c r="T72" s="31"/>
      <c r="U72" s="81"/>
      <c r="V72" s="80"/>
      <c r="W72" s="31"/>
      <c r="X72" s="81"/>
      <c r="Y72" s="31">
        <f t="shared" si="2"/>
        <v>0</v>
      </c>
      <c r="Z72" s="32">
        <v>2061</v>
      </c>
      <c r="AA72" s="33">
        <v>1</v>
      </c>
      <c r="AB72" s="34">
        <v>44207</v>
      </c>
      <c r="AC72" s="54">
        <v>44214</v>
      </c>
      <c r="AD72" s="60"/>
      <c r="AE72" s="35"/>
      <c r="AF72" s="36"/>
      <c r="AG72" s="61"/>
      <c r="AH72" s="60"/>
      <c r="AI72" s="35"/>
      <c r="AJ72" s="36"/>
      <c r="AK72" s="61"/>
      <c r="AL72" s="60"/>
      <c r="AM72" s="35"/>
      <c r="AN72" s="61"/>
      <c r="AO72" s="61"/>
      <c r="AP72" s="60"/>
      <c r="AQ72" s="35"/>
      <c r="AR72" s="36"/>
      <c r="AS72" s="61"/>
      <c r="AT72" s="37">
        <f t="shared" si="3"/>
        <v>2061</v>
      </c>
      <c r="AU72" s="38">
        <f t="shared" si="4"/>
        <v>2061</v>
      </c>
    </row>
    <row r="73" spans="2:47" s="26" customFormat="1" ht="22.5" x14ac:dyDescent="0.25">
      <c r="B73" s="27">
        <v>58</v>
      </c>
      <c r="C73" s="27" t="s">
        <v>39</v>
      </c>
      <c r="D73" s="50">
        <f>+'[2]Planilla  2021'!$D64</f>
        <v>40020480</v>
      </c>
      <c r="E73" s="29" t="str">
        <f>+'[2]Planilla  2021'!$E64</f>
        <v>MEJORAMIENTO CALLE ENRIQUE ABELLO, COMUNA PUNTA ARENAS.</v>
      </c>
      <c r="F73" s="51" t="str">
        <f>+'[2]Planilla  2021'!$G64</f>
        <v>Ejecución</v>
      </c>
      <c r="G73" s="30" t="s">
        <v>2291</v>
      </c>
      <c r="H73" s="30" t="str">
        <f>+'[2]Planilla  2021'!$K64</f>
        <v>PUNTA ARENAS</v>
      </c>
      <c r="I73" s="95" t="s">
        <v>72</v>
      </c>
      <c r="J73" s="31">
        <f>+'[2]Planilla  2021'!$AW64</f>
        <v>2901472</v>
      </c>
      <c r="K73" s="31">
        <f>+'[2]Planilla  2021'!$AK64</f>
        <v>0</v>
      </c>
      <c r="L73" s="76">
        <f>+'[2]Planilla  2021'!$BJ64</f>
        <v>2541566</v>
      </c>
      <c r="M73" s="80"/>
      <c r="N73" s="31"/>
      <c r="O73" s="81"/>
      <c r="P73" s="80"/>
      <c r="Q73" s="31"/>
      <c r="R73" s="81"/>
      <c r="S73" s="80"/>
      <c r="T73" s="31"/>
      <c r="U73" s="81"/>
      <c r="V73" s="80"/>
      <c r="W73" s="31"/>
      <c r="X73" s="81"/>
      <c r="Y73" s="31">
        <f t="shared" si="2"/>
        <v>0</v>
      </c>
      <c r="Z73" s="32">
        <v>1002</v>
      </c>
      <c r="AA73" s="33">
        <v>1</v>
      </c>
      <c r="AB73" s="34">
        <v>44207</v>
      </c>
      <c r="AC73" s="54">
        <v>44214</v>
      </c>
      <c r="AD73" s="60"/>
      <c r="AE73" s="35"/>
      <c r="AF73" s="36"/>
      <c r="AG73" s="61"/>
      <c r="AH73" s="60"/>
      <c r="AI73" s="35"/>
      <c r="AJ73" s="36"/>
      <c r="AK73" s="61"/>
      <c r="AL73" s="60"/>
      <c r="AM73" s="35"/>
      <c r="AN73" s="61"/>
      <c r="AO73" s="61"/>
      <c r="AP73" s="60"/>
      <c r="AQ73" s="35"/>
      <c r="AR73" s="36"/>
      <c r="AS73" s="61"/>
      <c r="AT73" s="37">
        <f t="shared" si="3"/>
        <v>1002</v>
      </c>
      <c r="AU73" s="38">
        <f t="shared" si="4"/>
        <v>1002</v>
      </c>
    </row>
    <row r="74" spans="2:47" s="26" customFormat="1" ht="22.5" x14ac:dyDescent="0.25">
      <c r="B74" s="27">
        <v>59</v>
      </c>
      <c r="C74" s="27" t="s">
        <v>39</v>
      </c>
      <c r="D74" s="50">
        <f>+'[2]Planilla  2021'!$D65</f>
        <v>30485034</v>
      </c>
      <c r="E74" s="29" t="str">
        <f>+'[2]Planilla  2021'!$E65</f>
        <v>AMPLIACION Y MEJORAMIENTO GIMNASIO NATALES</v>
      </c>
      <c r="F74" s="51" t="str">
        <f>+'[2]Planilla  2021'!$G65</f>
        <v>Ejecución</v>
      </c>
      <c r="G74" s="30" t="s">
        <v>2291</v>
      </c>
      <c r="H74" s="30" t="str">
        <f>+'[2]Planilla  2021'!$K65</f>
        <v>NATALES</v>
      </c>
      <c r="I74" s="95" t="s">
        <v>57</v>
      </c>
      <c r="J74" s="31">
        <f>+'[2]Planilla  2021'!$AW65</f>
        <v>1988938</v>
      </c>
      <c r="K74" s="31">
        <f>+'[2]Planilla  2021'!$AK65</f>
        <v>1561591</v>
      </c>
      <c r="L74" s="76">
        <f>+'[2]Planilla  2021'!$BJ65</f>
        <v>1</v>
      </c>
      <c r="M74" s="80"/>
      <c r="N74" s="31"/>
      <c r="O74" s="81"/>
      <c r="P74" s="80"/>
      <c r="Q74" s="31"/>
      <c r="R74" s="81"/>
      <c r="S74" s="80"/>
      <c r="T74" s="31"/>
      <c r="U74" s="81"/>
      <c r="V74" s="80"/>
      <c r="W74" s="31"/>
      <c r="X74" s="81"/>
      <c r="Y74" s="31">
        <f t="shared" si="2"/>
        <v>0</v>
      </c>
      <c r="Z74" s="32">
        <v>102000</v>
      </c>
      <c r="AA74" s="33">
        <v>1</v>
      </c>
      <c r="AB74" s="34">
        <v>44207</v>
      </c>
      <c r="AC74" s="54">
        <v>44214</v>
      </c>
      <c r="AD74" s="60"/>
      <c r="AE74" s="35"/>
      <c r="AF74" s="36"/>
      <c r="AG74" s="61"/>
      <c r="AH74" s="60"/>
      <c r="AI74" s="35"/>
      <c r="AJ74" s="36"/>
      <c r="AK74" s="61"/>
      <c r="AL74" s="60"/>
      <c r="AM74" s="35"/>
      <c r="AN74" s="61"/>
      <c r="AO74" s="61"/>
      <c r="AP74" s="60"/>
      <c r="AQ74" s="35"/>
      <c r="AR74" s="36"/>
      <c r="AS74" s="61"/>
      <c r="AT74" s="37">
        <f t="shared" si="3"/>
        <v>102000</v>
      </c>
      <c r="AU74" s="38">
        <f t="shared" si="4"/>
        <v>102000</v>
      </c>
    </row>
    <row r="75" spans="2:47" s="26" customFormat="1" ht="22.5" x14ac:dyDescent="0.25">
      <c r="B75" s="27">
        <v>60</v>
      </c>
      <c r="C75" s="27" t="s">
        <v>42</v>
      </c>
      <c r="D75" s="50">
        <f>+'[2]Planilla  2021'!$D66</f>
        <v>40010261</v>
      </c>
      <c r="E75" s="29" t="str">
        <f>+'[2]Planilla  2021'!$E66</f>
        <v>ACTUALIZACION PLAN DE DESARROLLO COMUNAL DE TORRES DEL PAINE</v>
      </c>
      <c r="F75" s="51" t="str">
        <f>+'[2]Planilla  2021'!$G66</f>
        <v>Ejecución</v>
      </c>
      <c r="G75" s="30" t="s">
        <v>2291</v>
      </c>
      <c r="H75" s="30" t="str">
        <f>+'[2]Planilla  2021'!$K66</f>
        <v>TORRES DEL PAINE</v>
      </c>
      <c r="I75" s="95" t="s">
        <v>57</v>
      </c>
      <c r="J75" s="31">
        <f>+'[2]Planilla  2021'!$AW66</f>
        <v>54409</v>
      </c>
      <c r="K75" s="31">
        <f>+'[2]Planilla  2021'!$AK66</f>
        <v>0</v>
      </c>
      <c r="L75" s="76">
        <f>+'[2]Planilla  2021'!$BJ66</f>
        <v>14415</v>
      </c>
      <c r="M75" s="80"/>
      <c r="N75" s="31"/>
      <c r="O75" s="81">
        <v>14414</v>
      </c>
      <c r="P75" s="80"/>
      <c r="Q75" s="31"/>
      <c r="R75" s="81"/>
      <c r="S75" s="80"/>
      <c r="T75" s="31"/>
      <c r="U75" s="81"/>
      <c r="V75" s="80"/>
      <c r="W75" s="31"/>
      <c r="X75" s="81"/>
      <c r="Y75" s="31">
        <f t="shared" si="2"/>
        <v>14414</v>
      </c>
      <c r="Z75" s="32">
        <f>9560</f>
        <v>9560</v>
      </c>
      <c r="AA75" s="33">
        <v>3</v>
      </c>
      <c r="AB75" s="34">
        <v>44217</v>
      </c>
      <c r="AC75" s="55">
        <v>44221</v>
      </c>
      <c r="AD75" s="60"/>
      <c r="AE75" s="35"/>
      <c r="AF75" s="36"/>
      <c r="AG75" s="61"/>
      <c r="AH75" s="32">
        <f>30000</f>
        <v>30000</v>
      </c>
      <c r="AI75" s="35">
        <v>9</v>
      </c>
      <c r="AJ75" s="61">
        <v>44244</v>
      </c>
      <c r="AK75" s="61">
        <v>44249</v>
      </c>
      <c r="AL75" s="60"/>
      <c r="AM75" s="35"/>
      <c r="AN75" s="61"/>
      <c r="AO75" s="61"/>
      <c r="AP75" s="60"/>
      <c r="AQ75" s="35"/>
      <c r="AR75" s="36"/>
      <c r="AS75" s="61"/>
      <c r="AT75" s="37">
        <f t="shared" si="3"/>
        <v>39560</v>
      </c>
      <c r="AU75" s="38">
        <f t="shared" si="4"/>
        <v>25146</v>
      </c>
    </row>
    <row r="76" spans="2:47" s="26" customFormat="1" ht="22.5" x14ac:dyDescent="0.25">
      <c r="B76" s="27">
        <v>61</v>
      </c>
      <c r="C76" s="27" t="s">
        <v>42</v>
      </c>
      <c r="D76" s="50">
        <f>+'[2]Planilla  2021'!$D67</f>
        <v>30483861</v>
      </c>
      <c r="E76" s="29" t="str">
        <f>+'[2]Planilla  2021'!$E67</f>
        <v>ACTUALIZACION PLAN SECCIONAL SERRANO Y CASTILLO, COMUNA TORRES DEL PAYNE</v>
      </c>
      <c r="F76" s="51" t="str">
        <f>+'[2]Planilla  2021'!$G67</f>
        <v>Ejecución</v>
      </c>
      <c r="G76" s="30" t="s">
        <v>2291</v>
      </c>
      <c r="H76" s="30" t="str">
        <f>+'[2]Planilla  2021'!$K67</f>
        <v>TORRES DEL PAINE</v>
      </c>
      <c r="I76" s="95" t="s">
        <v>57</v>
      </c>
      <c r="J76" s="31">
        <f>+'[2]Planilla  2021'!$AW67</f>
        <v>118340</v>
      </c>
      <c r="K76" s="31">
        <f>+'[2]Planilla  2021'!$AK67</f>
        <v>0</v>
      </c>
      <c r="L76" s="76">
        <f>+'[2]Planilla  2021'!$BJ67</f>
        <v>18103</v>
      </c>
      <c r="M76" s="80"/>
      <c r="N76" s="31"/>
      <c r="O76" s="81">
        <v>10000</v>
      </c>
      <c r="P76" s="80"/>
      <c r="Q76" s="31"/>
      <c r="R76" s="81"/>
      <c r="S76" s="80"/>
      <c r="T76" s="31"/>
      <c r="U76" s="81"/>
      <c r="V76" s="80"/>
      <c r="W76" s="31"/>
      <c r="X76" s="81"/>
      <c r="Y76" s="31">
        <f t="shared" si="2"/>
        <v>10000</v>
      </c>
      <c r="Z76" s="32">
        <f>9237</f>
        <v>9237</v>
      </c>
      <c r="AA76" s="33">
        <v>3</v>
      </c>
      <c r="AB76" s="34">
        <v>44217</v>
      </c>
      <c r="AC76" s="55">
        <v>44221</v>
      </c>
      <c r="AD76" s="60"/>
      <c r="AE76" s="35"/>
      <c r="AF76" s="36"/>
      <c r="AG76" s="61"/>
      <c r="AH76" s="32">
        <f>30000</f>
        <v>30000</v>
      </c>
      <c r="AI76" s="35">
        <v>9</v>
      </c>
      <c r="AJ76" s="61">
        <v>44244</v>
      </c>
      <c r="AK76" s="61">
        <v>44249</v>
      </c>
      <c r="AL76" s="60"/>
      <c r="AM76" s="35"/>
      <c r="AN76" s="61"/>
      <c r="AO76" s="61"/>
      <c r="AP76" s="60"/>
      <c r="AQ76" s="35"/>
      <c r="AR76" s="36"/>
      <c r="AS76" s="61"/>
      <c r="AT76" s="37">
        <f t="shared" si="3"/>
        <v>39237</v>
      </c>
      <c r="AU76" s="38">
        <f t="shared" si="4"/>
        <v>29237</v>
      </c>
    </row>
    <row r="77" spans="2:47" s="26" customFormat="1" ht="22.5" x14ac:dyDescent="0.25">
      <c r="B77" s="27">
        <v>62</v>
      </c>
      <c r="C77" s="27" t="s">
        <v>39</v>
      </c>
      <c r="D77" s="50">
        <f>+'[2]Planilla  2021'!$D68</f>
        <v>40012128</v>
      </c>
      <c r="E77" s="29" t="str">
        <f>+'[2]Planilla  2021'!$E68</f>
        <v>MEJORAMIENTO PLAZOLETAS SECTOR SUR 2 PONIENTE, PUNTA ARENAS</v>
      </c>
      <c r="F77" s="51" t="str">
        <f>+'[2]Planilla  2021'!$G68</f>
        <v>Ejecución</v>
      </c>
      <c r="G77" s="30" t="s">
        <v>2291</v>
      </c>
      <c r="H77" s="30" t="str">
        <f>+'[2]Planilla  2021'!$K68</f>
        <v>PUNTA ARENAS</v>
      </c>
      <c r="I77" s="95" t="s">
        <v>72</v>
      </c>
      <c r="J77" s="31">
        <f>+'[2]Planilla  2021'!$AW68</f>
        <v>2548731</v>
      </c>
      <c r="K77" s="31">
        <f>+'[2]Planilla  2021'!$AK68</f>
        <v>0</v>
      </c>
      <c r="L77" s="76">
        <f>+'[2]Planilla  2021'!$BJ68</f>
        <v>1385090</v>
      </c>
      <c r="M77" s="80"/>
      <c r="N77" s="31"/>
      <c r="O77" s="81"/>
      <c r="P77" s="80"/>
      <c r="Q77" s="31"/>
      <c r="R77" s="81"/>
      <c r="S77" s="80"/>
      <c r="T77" s="31"/>
      <c r="U77" s="81"/>
      <c r="V77" s="80"/>
      <c r="W77" s="31"/>
      <c r="X77" s="81"/>
      <c r="Y77" s="31">
        <f t="shared" si="2"/>
        <v>0</v>
      </c>
      <c r="Z77" s="32">
        <v>4000</v>
      </c>
      <c r="AA77" s="33">
        <v>3</v>
      </c>
      <c r="AB77" s="34">
        <v>44217</v>
      </c>
      <c r="AC77" s="55">
        <v>44221</v>
      </c>
      <c r="AD77" s="60"/>
      <c r="AE77" s="35"/>
      <c r="AF77" s="36"/>
      <c r="AG77" s="61"/>
      <c r="AH77" s="60"/>
      <c r="AI77" s="35"/>
      <c r="AJ77" s="36"/>
      <c r="AK77" s="61"/>
      <c r="AL77" s="60"/>
      <c r="AM77" s="35"/>
      <c r="AN77" s="61"/>
      <c r="AO77" s="61"/>
      <c r="AP77" s="60"/>
      <c r="AQ77" s="35"/>
      <c r="AR77" s="36"/>
      <c r="AS77" s="61"/>
      <c r="AT77" s="37">
        <f t="shared" si="3"/>
        <v>4000</v>
      </c>
      <c r="AU77" s="38">
        <f t="shared" si="4"/>
        <v>4000</v>
      </c>
    </row>
    <row r="78" spans="2:47" s="26" customFormat="1" ht="22.5" x14ac:dyDescent="0.25">
      <c r="B78" s="27">
        <v>63</v>
      </c>
      <c r="C78" s="27" t="s">
        <v>39</v>
      </c>
      <c r="D78" s="50">
        <f>+'[2]Planilla  2021'!$D69</f>
        <v>30081014</v>
      </c>
      <c r="E78" s="29" t="str">
        <f>+'[2]Planilla  2021'!$E69</f>
        <v>CONSTRUCCION SALON DE USOS MULTIPLES J.V.N°18, PTA. ARENAS</v>
      </c>
      <c r="F78" s="51" t="str">
        <f>+'[2]Planilla  2021'!$G69</f>
        <v>Ejecución</v>
      </c>
      <c r="G78" s="30" t="s">
        <v>2291</v>
      </c>
      <c r="H78" s="30" t="str">
        <f>+'[2]Planilla  2021'!$K69</f>
        <v>PUNTA ARENAS</v>
      </c>
      <c r="I78" s="95" t="s">
        <v>72</v>
      </c>
      <c r="J78" s="31">
        <f>+'[2]Planilla  2021'!$AW69</f>
        <v>737218</v>
      </c>
      <c r="K78" s="31">
        <f>+'[2]Planilla  2021'!$AK69</f>
        <v>0</v>
      </c>
      <c r="L78" s="76">
        <f>+'[2]Planilla  2021'!$BJ69</f>
        <v>731954</v>
      </c>
      <c r="M78" s="80"/>
      <c r="N78" s="31"/>
      <c r="O78" s="81"/>
      <c r="P78" s="80"/>
      <c r="Q78" s="31"/>
      <c r="R78" s="81"/>
      <c r="S78" s="80"/>
      <c r="T78" s="31"/>
      <c r="U78" s="81"/>
      <c r="V78" s="80"/>
      <c r="W78" s="31"/>
      <c r="X78" s="81"/>
      <c r="Y78" s="31">
        <f t="shared" si="2"/>
        <v>0</v>
      </c>
      <c r="Z78" s="32">
        <v>2200</v>
      </c>
      <c r="AA78" s="33">
        <v>3</v>
      </c>
      <c r="AB78" s="34">
        <v>44217</v>
      </c>
      <c r="AC78" s="55">
        <v>44221</v>
      </c>
      <c r="AD78" s="60"/>
      <c r="AE78" s="35"/>
      <c r="AF78" s="36"/>
      <c r="AG78" s="61"/>
      <c r="AH78" s="60"/>
      <c r="AI78" s="35"/>
      <c r="AJ78" s="36"/>
      <c r="AK78" s="61"/>
      <c r="AL78" s="60"/>
      <c r="AM78" s="35"/>
      <c r="AN78" s="61"/>
      <c r="AO78" s="61"/>
      <c r="AP78" s="60"/>
      <c r="AQ78" s="35"/>
      <c r="AR78" s="36"/>
      <c r="AS78" s="61"/>
      <c r="AT78" s="37">
        <f t="shared" si="3"/>
        <v>2200</v>
      </c>
      <c r="AU78" s="38">
        <f t="shared" si="4"/>
        <v>2200</v>
      </c>
    </row>
    <row r="79" spans="2:47" s="26" customFormat="1" ht="22.5" x14ac:dyDescent="0.25">
      <c r="B79" s="27">
        <v>64</v>
      </c>
      <c r="C79" s="27" t="s">
        <v>39</v>
      </c>
      <c r="D79" s="50">
        <f>+'[2]Planilla  2021'!$D70</f>
        <v>40000684</v>
      </c>
      <c r="E79" s="29" t="str">
        <f>+'[2]Planilla  2021'!$E70</f>
        <v>MEJORAMIENTO AVENIDA ESPAÑA, PUERTO NATALES</v>
      </c>
      <c r="F79" s="51" t="str">
        <f>+'[2]Planilla  2021'!$G70</f>
        <v>Ejecución</v>
      </c>
      <c r="G79" s="30" t="s">
        <v>2291</v>
      </c>
      <c r="H79" s="30" t="str">
        <f>+'[2]Planilla  2021'!$K70</f>
        <v>NATALES</v>
      </c>
      <c r="I79" s="95" t="s">
        <v>72</v>
      </c>
      <c r="J79" s="31">
        <f>+'[2]Planilla  2021'!$AW70</f>
        <v>1151250</v>
      </c>
      <c r="K79" s="31">
        <f>+'[2]Planilla  2021'!$AK70</f>
        <v>0</v>
      </c>
      <c r="L79" s="76">
        <f>+'[2]Planilla  2021'!$BJ70</f>
        <v>805671</v>
      </c>
      <c r="M79" s="80"/>
      <c r="N79" s="31"/>
      <c r="O79" s="81"/>
      <c r="P79" s="80"/>
      <c r="Q79" s="31"/>
      <c r="R79" s="81"/>
      <c r="S79" s="80"/>
      <c r="T79" s="31"/>
      <c r="U79" s="81"/>
      <c r="V79" s="80"/>
      <c r="W79" s="31"/>
      <c r="X79" s="81"/>
      <c r="Y79" s="31">
        <f t="shared" si="2"/>
        <v>0</v>
      </c>
      <c r="Z79" s="32">
        <v>3000</v>
      </c>
      <c r="AA79" s="33">
        <v>3</v>
      </c>
      <c r="AB79" s="34">
        <v>44217</v>
      </c>
      <c r="AC79" s="55">
        <v>44221</v>
      </c>
      <c r="AD79" s="60"/>
      <c r="AE79" s="35"/>
      <c r="AF79" s="36"/>
      <c r="AG79" s="61"/>
      <c r="AH79" s="60"/>
      <c r="AI79" s="35"/>
      <c r="AJ79" s="36"/>
      <c r="AK79" s="61"/>
      <c r="AL79" s="60"/>
      <c r="AM79" s="35"/>
      <c r="AN79" s="61"/>
      <c r="AO79" s="61"/>
      <c r="AP79" s="60"/>
      <c r="AQ79" s="35"/>
      <c r="AR79" s="36"/>
      <c r="AS79" s="61"/>
      <c r="AT79" s="37">
        <f t="shared" si="3"/>
        <v>3000</v>
      </c>
      <c r="AU79" s="38">
        <f t="shared" si="4"/>
        <v>3000</v>
      </c>
    </row>
    <row r="80" spans="2:47" s="26" customFormat="1" ht="22.5" x14ac:dyDescent="0.25">
      <c r="B80" s="27">
        <v>65</v>
      </c>
      <c r="C80" s="27" t="s">
        <v>39</v>
      </c>
      <c r="D80" s="50">
        <f>+'[2]Planilla  2021'!$D71</f>
        <v>30086663</v>
      </c>
      <c r="E80" s="29" t="str">
        <f>+'[2]Planilla  2021'!$E71</f>
        <v>NORMALIZACION Y MEJOR. INTEGRAL JARDINES INFANTILES INTEGRA REG. MAG</v>
      </c>
      <c r="F80" s="51" t="str">
        <f>+'[2]Planilla  2021'!$G71</f>
        <v>Ejecución</v>
      </c>
      <c r="G80" s="30" t="s">
        <v>2291</v>
      </c>
      <c r="H80" s="30" t="str">
        <f>+'[2]Planilla  2021'!$K71</f>
        <v>INTERCOMUNAL</v>
      </c>
      <c r="I80" s="95" t="s">
        <v>57</v>
      </c>
      <c r="J80" s="31">
        <f>+'[2]Planilla  2021'!$AW71</f>
        <v>7211239</v>
      </c>
      <c r="K80" s="31">
        <f>+'[2]Planilla  2021'!$AK71</f>
        <v>2967798</v>
      </c>
      <c r="L80" s="76">
        <f>+'[2]Planilla  2021'!$BJ71</f>
        <v>0</v>
      </c>
      <c r="M80" s="80">
        <v>68932</v>
      </c>
      <c r="N80" s="31"/>
      <c r="O80" s="81">
        <v>65126</v>
      </c>
      <c r="P80" s="80"/>
      <c r="Q80" s="31"/>
      <c r="R80" s="81"/>
      <c r="S80" s="80"/>
      <c r="T80" s="31"/>
      <c r="U80" s="81"/>
      <c r="V80" s="80"/>
      <c r="W80" s="31"/>
      <c r="X80" s="81"/>
      <c r="Y80" s="31">
        <f t="shared" si="2"/>
        <v>134058</v>
      </c>
      <c r="Z80" s="32">
        <v>1833082</v>
      </c>
      <c r="AA80" s="33">
        <v>3</v>
      </c>
      <c r="AB80" s="34">
        <v>44217</v>
      </c>
      <c r="AC80" s="55">
        <v>44221</v>
      </c>
      <c r="AD80" s="60"/>
      <c r="AE80" s="35"/>
      <c r="AF80" s="36"/>
      <c r="AG80" s="61"/>
      <c r="AH80" s="60"/>
      <c r="AI80" s="35"/>
      <c r="AJ80" s="36"/>
      <c r="AK80" s="61"/>
      <c r="AL80" s="60"/>
      <c r="AM80" s="35"/>
      <c r="AN80" s="61"/>
      <c r="AO80" s="61"/>
      <c r="AP80" s="60"/>
      <c r="AQ80" s="35"/>
      <c r="AR80" s="36"/>
      <c r="AS80" s="61"/>
      <c r="AT80" s="37">
        <f t="shared" si="3"/>
        <v>1833082</v>
      </c>
      <c r="AU80" s="38">
        <f t="shared" si="4"/>
        <v>1699024</v>
      </c>
    </row>
    <row r="81" spans="2:47" s="26" customFormat="1" ht="22.5" x14ac:dyDescent="0.25">
      <c r="B81" s="27">
        <v>66</v>
      </c>
      <c r="C81" s="27" t="s">
        <v>39</v>
      </c>
      <c r="D81" s="50">
        <f>+'[2]Planilla  2021'!$D72</f>
        <v>30125908</v>
      </c>
      <c r="E81" s="29" t="str">
        <f>+'[2]Planilla  2021'!$E72</f>
        <v>RESTAURACION Y NORMALIZACIÓN PRIMERA COMPAÑÍA DE BOMBEROS, PUNTA ARENAS</v>
      </c>
      <c r="F81" s="51" t="str">
        <f>+'[2]Planilla  2021'!$G72</f>
        <v>Ejecución</v>
      </c>
      <c r="G81" s="30" t="s">
        <v>2291</v>
      </c>
      <c r="H81" s="30" t="str">
        <f>+'[2]Planilla  2021'!$K72</f>
        <v>PUNTA ARENAS</v>
      </c>
      <c r="I81" s="95" t="s">
        <v>57</v>
      </c>
      <c r="J81" s="31">
        <f>+'[2]Planilla  2021'!$AW72</f>
        <v>3793948</v>
      </c>
      <c r="K81" s="31">
        <f>+'[2]Planilla  2021'!$AK72</f>
        <v>0</v>
      </c>
      <c r="L81" s="76">
        <f>+'[2]Planilla  2021'!$BJ72</f>
        <v>3590189</v>
      </c>
      <c r="M81" s="80"/>
      <c r="N81" s="31"/>
      <c r="O81" s="81"/>
      <c r="P81" s="80"/>
      <c r="Q81" s="31"/>
      <c r="R81" s="81"/>
      <c r="S81" s="80"/>
      <c r="T81" s="31"/>
      <c r="U81" s="81"/>
      <c r="V81" s="80"/>
      <c r="W81" s="31"/>
      <c r="X81" s="81"/>
      <c r="Y81" s="31">
        <f t="shared" si="2"/>
        <v>0</v>
      </c>
      <c r="Z81" s="32">
        <v>203759</v>
      </c>
      <c r="AA81" s="33">
        <v>3</v>
      </c>
      <c r="AB81" s="34">
        <v>44217</v>
      </c>
      <c r="AC81" s="55">
        <v>44221</v>
      </c>
      <c r="AD81" s="60"/>
      <c r="AE81" s="35"/>
      <c r="AF81" s="36"/>
      <c r="AG81" s="61"/>
      <c r="AH81" s="60"/>
      <c r="AI81" s="35"/>
      <c r="AJ81" s="36"/>
      <c r="AK81" s="61"/>
      <c r="AL81" s="60"/>
      <c r="AM81" s="35"/>
      <c r="AN81" s="61"/>
      <c r="AO81" s="61"/>
      <c r="AP81" s="60"/>
      <c r="AQ81" s="35"/>
      <c r="AR81" s="36"/>
      <c r="AS81" s="61"/>
      <c r="AT81" s="37">
        <f t="shared" si="3"/>
        <v>203759</v>
      </c>
      <c r="AU81" s="38">
        <f t="shared" si="4"/>
        <v>203759</v>
      </c>
    </row>
    <row r="82" spans="2:47" s="26" customFormat="1" ht="22.5" x14ac:dyDescent="0.25">
      <c r="B82" s="27">
        <v>67</v>
      </c>
      <c r="C82" s="27" t="s">
        <v>39</v>
      </c>
      <c r="D82" s="50">
        <f>+'[2]Planilla  2021'!$D73</f>
        <v>30128661</v>
      </c>
      <c r="E82" s="29" t="str">
        <f>+'[2]Planilla  2021'!$E73</f>
        <v>NORMALIZACION CESFAM 18 DE SEPTIEMBRE PUNTA ARENAS</v>
      </c>
      <c r="F82" s="51" t="str">
        <f>+'[2]Planilla  2021'!$G73</f>
        <v>Ejecución</v>
      </c>
      <c r="G82" s="30" t="s">
        <v>2291</v>
      </c>
      <c r="H82" s="30" t="str">
        <f>+'[2]Planilla  2021'!$K73</f>
        <v>PUNTA ARENAS</v>
      </c>
      <c r="I82" s="95" t="s">
        <v>57</v>
      </c>
      <c r="J82" s="31">
        <f>+'[2]Planilla  2021'!$AW73</f>
        <v>7852437</v>
      </c>
      <c r="K82" s="31">
        <f>+'[2]Planilla  2021'!$AK73</f>
        <v>0</v>
      </c>
      <c r="L82" s="76">
        <f>+'[2]Planilla  2021'!$BJ73</f>
        <v>6772727</v>
      </c>
      <c r="M82" s="80"/>
      <c r="N82" s="31"/>
      <c r="O82" s="81"/>
      <c r="P82" s="80"/>
      <c r="Q82" s="31"/>
      <c r="R82" s="81"/>
      <c r="S82" s="80"/>
      <c r="T82" s="31"/>
      <c r="U82" s="81"/>
      <c r="V82" s="80"/>
      <c r="W82" s="31"/>
      <c r="X82" s="81"/>
      <c r="Y82" s="31">
        <f t="shared" si="2"/>
        <v>0</v>
      </c>
      <c r="Z82" s="32">
        <v>1079710</v>
      </c>
      <c r="AA82" s="33">
        <v>3</v>
      </c>
      <c r="AB82" s="34">
        <v>44217</v>
      </c>
      <c r="AC82" s="55">
        <v>44221</v>
      </c>
      <c r="AD82" s="60"/>
      <c r="AE82" s="35"/>
      <c r="AF82" s="36"/>
      <c r="AG82" s="61"/>
      <c r="AH82" s="60"/>
      <c r="AI82" s="35"/>
      <c r="AJ82" s="36"/>
      <c r="AK82" s="61"/>
      <c r="AL82" s="60"/>
      <c r="AM82" s="35"/>
      <c r="AN82" s="61"/>
      <c r="AO82" s="61"/>
      <c r="AP82" s="60"/>
      <c r="AQ82" s="35"/>
      <c r="AR82" s="36"/>
      <c r="AS82" s="61"/>
      <c r="AT82" s="37">
        <f t="shared" si="3"/>
        <v>1079710</v>
      </c>
      <c r="AU82" s="38">
        <f t="shared" si="4"/>
        <v>1079710</v>
      </c>
    </row>
    <row r="83" spans="2:47" s="26" customFormat="1" x14ac:dyDescent="0.25">
      <c r="B83" s="27">
        <v>68</v>
      </c>
      <c r="C83" s="27" t="s">
        <v>39</v>
      </c>
      <c r="D83" s="50">
        <f>+'[2]Planilla  2021'!$D74</f>
        <v>30130781</v>
      </c>
      <c r="E83" s="29" t="str">
        <f>+'[2]Planilla  2021'!$E74</f>
        <v>CONSTRUCCIÓN RELLENO SANITARIO, NATALES</v>
      </c>
      <c r="F83" s="51" t="str">
        <f>+'[2]Planilla  2021'!$G74</f>
        <v>Ejecución</v>
      </c>
      <c r="G83" s="30" t="s">
        <v>2291</v>
      </c>
      <c r="H83" s="30" t="str">
        <f>+'[2]Planilla  2021'!$K74</f>
        <v>NATALES</v>
      </c>
      <c r="I83" s="95" t="s">
        <v>57</v>
      </c>
      <c r="J83" s="31">
        <f>+'[2]Planilla  2021'!$AW74</f>
        <v>6252523</v>
      </c>
      <c r="K83" s="31">
        <f>+'[2]Planilla  2021'!$AK74</f>
        <v>5727900</v>
      </c>
      <c r="L83" s="76">
        <f>+'[2]Planilla  2021'!$BJ74</f>
        <v>0</v>
      </c>
      <c r="M83" s="80"/>
      <c r="N83" s="31"/>
      <c r="O83" s="81">
        <v>131023</v>
      </c>
      <c r="P83" s="80"/>
      <c r="Q83" s="31"/>
      <c r="R83" s="81"/>
      <c r="S83" s="80"/>
      <c r="T83" s="31"/>
      <c r="U83" s="81"/>
      <c r="V83" s="80"/>
      <c r="W83" s="31"/>
      <c r="X83" s="81"/>
      <c r="Y83" s="31">
        <f t="shared" si="2"/>
        <v>131023</v>
      </c>
      <c r="Z83" s="32">
        <v>524623</v>
      </c>
      <c r="AA83" s="33">
        <v>3</v>
      </c>
      <c r="AB83" s="34">
        <v>44217</v>
      </c>
      <c r="AC83" s="55">
        <v>44221</v>
      </c>
      <c r="AD83" s="60"/>
      <c r="AE83" s="35"/>
      <c r="AF83" s="36"/>
      <c r="AG83" s="61"/>
      <c r="AH83" s="60"/>
      <c r="AI83" s="35"/>
      <c r="AJ83" s="36"/>
      <c r="AK83" s="61"/>
      <c r="AL83" s="60"/>
      <c r="AM83" s="35"/>
      <c r="AN83" s="61"/>
      <c r="AO83" s="61"/>
      <c r="AP83" s="60"/>
      <c r="AQ83" s="35"/>
      <c r="AR83" s="36"/>
      <c r="AS83" s="61"/>
      <c r="AT83" s="37">
        <f t="shared" si="3"/>
        <v>524623</v>
      </c>
      <c r="AU83" s="38">
        <f t="shared" si="4"/>
        <v>393600</v>
      </c>
    </row>
    <row r="84" spans="2:47" s="26" customFormat="1" ht="22.5" x14ac:dyDescent="0.25">
      <c r="B84" s="27">
        <v>69</v>
      </c>
      <c r="C84" s="27" t="s">
        <v>39</v>
      </c>
      <c r="D84" s="50">
        <f>+'[2]Planilla  2021'!$D75</f>
        <v>30286673</v>
      </c>
      <c r="E84" s="29" t="str">
        <f>+'[2]Planilla  2021'!$E75</f>
        <v>CONSTRUCCION CENTRO ASISTENCIAL DOCENTE E INVESTIGACIÓN UMAG, XII REGIÓN</v>
      </c>
      <c r="F84" s="51" t="str">
        <f>+'[2]Planilla  2021'!$G75</f>
        <v>Ejecución</v>
      </c>
      <c r="G84" s="30" t="s">
        <v>2291</v>
      </c>
      <c r="H84" s="30" t="str">
        <f>+'[2]Planilla  2021'!$K75</f>
        <v>PUNTA ARENAS</v>
      </c>
      <c r="I84" s="95" t="s">
        <v>57</v>
      </c>
      <c r="J84" s="31">
        <f>+'[2]Planilla  2021'!$AW75</f>
        <v>14262353</v>
      </c>
      <c r="K84" s="31">
        <f>+'[2]Planilla  2021'!$AK75</f>
        <v>13612353</v>
      </c>
      <c r="L84" s="76">
        <f>+'[2]Planilla  2021'!$BJ75</f>
        <v>250000</v>
      </c>
      <c r="M84" s="80"/>
      <c r="N84" s="31"/>
      <c r="O84" s="81">
        <v>7022</v>
      </c>
      <c r="P84" s="80"/>
      <c r="Q84" s="31"/>
      <c r="R84" s="81"/>
      <c r="S84" s="80"/>
      <c r="T84" s="31"/>
      <c r="U84" s="81"/>
      <c r="V84" s="80"/>
      <c r="W84" s="31"/>
      <c r="X84" s="81"/>
      <c r="Y84" s="31">
        <f t="shared" si="2"/>
        <v>7022</v>
      </c>
      <c r="Z84" s="32">
        <v>400000</v>
      </c>
      <c r="AA84" s="33">
        <v>3</v>
      </c>
      <c r="AB84" s="34">
        <v>44217</v>
      </c>
      <c r="AC84" s="55">
        <v>44221</v>
      </c>
      <c r="AD84" s="60"/>
      <c r="AE84" s="35"/>
      <c r="AF84" s="36"/>
      <c r="AG84" s="61"/>
      <c r="AH84" s="60"/>
      <c r="AI84" s="35"/>
      <c r="AJ84" s="36"/>
      <c r="AK84" s="61"/>
      <c r="AL84" s="60"/>
      <c r="AM84" s="35"/>
      <c r="AN84" s="61"/>
      <c r="AO84" s="61"/>
      <c r="AP84" s="60"/>
      <c r="AQ84" s="35"/>
      <c r="AR84" s="36"/>
      <c r="AS84" s="61"/>
      <c r="AT84" s="37">
        <f t="shared" si="3"/>
        <v>400000</v>
      </c>
      <c r="AU84" s="38">
        <f t="shared" si="4"/>
        <v>392978</v>
      </c>
    </row>
    <row r="85" spans="2:47" s="26" customFormat="1" ht="22.5" x14ac:dyDescent="0.25">
      <c r="B85" s="27">
        <v>70</v>
      </c>
      <c r="C85" s="27" t="s">
        <v>39</v>
      </c>
      <c r="D85" s="50">
        <f>+'[2]Planilla  2021'!$D76</f>
        <v>30305772</v>
      </c>
      <c r="E85" s="29" t="str">
        <f>+'[2]Planilla  2021'!$E76</f>
        <v>CONSTRUCCION INFRAESTRUCTURA PORTUARIA EN PUERTO TORO,CABO DE HORNOS</v>
      </c>
      <c r="F85" s="51" t="str">
        <f>+'[2]Planilla  2021'!$G76</f>
        <v>Ejecución</v>
      </c>
      <c r="G85" s="30" t="s">
        <v>2291</v>
      </c>
      <c r="H85" s="30" t="str">
        <f>+'[2]Planilla  2021'!$K76</f>
        <v>CABO DE HORNOS</v>
      </c>
      <c r="I85" s="95" t="s">
        <v>57</v>
      </c>
      <c r="J85" s="31">
        <f>+'[2]Planilla  2021'!$AW76</f>
        <v>441816</v>
      </c>
      <c r="K85" s="31">
        <f>+'[2]Planilla  2021'!$AK76</f>
        <v>0</v>
      </c>
      <c r="L85" s="76">
        <f>+'[2]Planilla  2021'!$BJ76</f>
        <v>371264</v>
      </c>
      <c r="M85" s="80"/>
      <c r="N85" s="31"/>
      <c r="O85" s="81"/>
      <c r="P85" s="80"/>
      <c r="Q85" s="31"/>
      <c r="R85" s="81"/>
      <c r="S85" s="80"/>
      <c r="T85" s="31"/>
      <c r="U85" s="81"/>
      <c r="V85" s="80"/>
      <c r="W85" s="31"/>
      <c r="X85" s="81"/>
      <c r="Y85" s="31">
        <f t="shared" si="2"/>
        <v>0</v>
      </c>
      <c r="Z85" s="32">
        <v>70552</v>
      </c>
      <c r="AA85" s="33">
        <v>3</v>
      </c>
      <c r="AB85" s="34">
        <v>44217</v>
      </c>
      <c r="AC85" s="55">
        <v>44221</v>
      </c>
      <c r="AD85" s="60"/>
      <c r="AE85" s="35"/>
      <c r="AF85" s="36"/>
      <c r="AG85" s="61"/>
      <c r="AH85" s="60"/>
      <c r="AI85" s="35"/>
      <c r="AJ85" s="36"/>
      <c r="AK85" s="61"/>
      <c r="AL85" s="60"/>
      <c r="AM85" s="35"/>
      <c r="AN85" s="61"/>
      <c r="AO85" s="61"/>
      <c r="AP85" s="60"/>
      <c r="AQ85" s="35"/>
      <c r="AR85" s="36"/>
      <c r="AS85" s="61"/>
      <c r="AT85" s="37">
        <f t="shared" si="3"/>
        <v>70552</v>
      </c>
      <c r="AU85" s="38">
        <f t="shared" si="4"/>
        <v>70552</v>
      </c>
    </row>
    <row r="86" spans="2:47" s="26" customFormat="1" ht="22.5" x14ac:dyDescent="0.25">
      <c r="B86" s="27">
        <v>71</v>
      </c>
      <c r="C86" s="27" t="s">
        <v>39</v>
      </c>
      <c r="D86" s="50">
        <f>+'[2]Planilla  2021'!$D77</f>
        <v>30354829</v>
      </c>
      <c r="E86" s="29" t="str">
        <f>+'[2]Planilla  2021'!$E77</f>
        <v>CONSTRUCCION JUZGADOS DE POLICIA LOCAL, PUNTA ARENAS</v>
      </c>
      <c r="F86" s="51" t="str">
        <f>+'[2]Planilla  2021'!$G77</f>
        <v>Ejecución</v>
      </c>
      <c r="G86" s="30" t="s">
        <v>2291</v>
      </c>
      <c r="H86" s="30" t="str">
        <f>+'[2]Planilla  2021'!$K77</f>
        <v>PUNTA ARENAS</v>
      </c>
      <c r="I86" s="95" t="s">
        <v>57</v>
      </c>
      <c r="J86" s="31">
        <f>+'[2]Planilla  2021'!$AW77</f>
        <v>3183862</v>
      </c>
      <c r="K86" s="31">
        <f>+'[2]Planilla  2021'!$AK77</f>
        <v>1535</v>
      </c>
      <c r="L86" s="76">
        <f>+'[2]Planilla  2021'!$BJ77</f>
        <v>785534</v>
      </c>
      <c r="M86" s="80"/>
      <c r="N86" s="31"/>
      <c r="O86" s="81"/>
      <c r="P86" s="80"/>
      <c r="Q86" s="31"/>
      <c r="R86" s="81"/>
      <c r="S86" s="80"/>
      <c r="T86" s="31"/>
      <c r="U86" s="81"/>
      <c r="V86" s="80"/>
      <c r="W86" s="31"/>
      <c r="X86" s="81"/>
      <c r="Y86" s="31">
        <f t="shared" si="2"/>
        <v>0</v>
      </c>
      <c r="Z86" s="32">
        <v>214068</v>
      </c>
      <c r="AA86" s="33">
        <v>3</v>
      </c>
      <c r="AB86" s="34">
        <v>44217</v>
      </c>
      <c r="AC86" s="55">
        <v>44221</v>
      </c>
      <c r="AD86" s="60"/>
      <c r="AE86" s="35"/>
      <c r="AF86" s="36"/>
      <c r="AG86" s="61"/>
      <c r="AH86" s="60"/>
      <c r="AI86" s="35"/>
      <c r="AJ86" s="36"/>
      <c r="AK86" s="61"/>
      <c r="AL86" s="60"/>
      <c r="AM86" s="35"/>
      <c r="AN86" s="61"/>
      <c r="AO86" s="61"/>
      <c r="AP86" s="60"/>
      <c r="AQ86" s="35"/>
      <c r="AR86" s="36"/>
      <c r="AS86" s="61"/>
      <c r="AT86" s="37">
        <f t="shared" si="3"/>
        <v>214068</v>
      </c>
      <c r="AU86" s="38">
        <f t="shared" si="4"/>
        <v>214068</v>
      </c>
    </row>
    <row r="87" spans="2:47" s="26" customFormat="1" ht="22.5" x14ac:dyDescent="0.25">
      <c r="B87" s="27">
        <v>72</v>
      </c>
      <c r="C87" s="27" t="s">
        <v>39</v>
      </c>
      <c r="D87" s="50">
        <f>+'[2]Planilla  2021'!$D78</f>
        <v>30427372</v>
      </c>
      <c r="E87" s="29" t="str">
        <f>+'[2]Planilla  2021'!$E78</f>
        <v>MEJORAMIENTO Y REPOSICION VEREDAS BARRIO CROATA, PUNTA ARENAS</v>
      </c>
      <c r="F87" s="51" t="str">
        <f>+'[2]Planilla  2021'!$G78</f>
        <v>Ejecución</v>
      </c>
      <c r="G87" s="30" t="s">
        <v>2291</v>
      </c>
      <c r="H87" s="30" t="str">
        <f>+'[2]Planilla  2021'!$K78</f>
        <v>PUNTA ARENAS</v>
      </c>
      <c r="I87" s="95" t="s">
        <v>57</v>
      </c>
      <c r="J87" s="31">
        <f>+'[2]Planilla  2021'!$AW78</f>
        <v>5307349</v>
      </c>
      <c r="K87" s="31">
        <f>+'[2]Planilla  2021'!$AK78</f>
        <v>417682</v>
      </c>
      <c r="L87" s="76">
        <f>+'[2]Planilla  2021'!$BJ78</f>
        <v>0</v>
      </c>
      <c r="M87" s="80">
        <v>2800</v>
      </c>
      <c r="N87" s="31">
        <v>322466</v>
      </c>
      <c r="O87" s="81">
        <v>367938</v>
      </c>
      <c r="P87" s="80"/>
      <c r="Q87" s="31"/>
      <c r="R87" s="81"/>
      <c r="S87" s="80"/>
      <c r="T87" s="31"/>
      <c r="U87" s="81"/>
      <c r="V87" s="80"/>
      <c r="W87" s="31"/>
      <c r="X87" s="81"/>
      <c r="Y87" s="31">
        <f t="shared" si="2"/>
        <v>693204</v>
      </c>
      <c r="Z87" s="32">
        <v>1128000</v>
      </c>
      <c r="AA87" s="33">
        <v>3</v>
      </c>
      <c r="AB87" s="34">
        <v>44217</v>
      </c>
      <c r="AC87" s="55">
        <v>44221</v>
      </c>
      <c r="AD87" s="60"/>
      <c r="AE87" s="35"/>
      <c r="AF87" s="36"/>
      <c r="AG87" s="61"/>
      <c r="AH87" s="60"/>
      <c r="AI87" s="35"/>
      <c r="AJ87" s="36"/>
      <c r="AK87" s="61"/>
      <c r="AL87" s="60"/>
      <c r="AM87" s="35"/>
      <c r="AN87" s="61"/>
      <c r="AO87" s="61"/>
      <c r="AP87" s="60"/>
      <c r="AQ87" s="35"/>
      <c r="AR87" s="36"/>
      <c r="AS87" s="61"/>
      <c r="AT87" s="37">
        <f t="shared" si="3"/>
        <v>1128000</v>
      </c>
      <c r="AU87" s="38">
        <f t="shared" si="4"/>
        <v>434796</v>
      </c>
    </row>
    <row r="88" spans="2:47" s="26" customFormat="1" ht="22.5" x14ac:dyDescent="0.25">
      <c r="B88" s="27">
        <v>73</v>
      </c>
      <c r="C88" s="27" t="s">
        <v>39</v>
      </c>
      <c r="D88" s="50">
        <f>+'[2]Planilla  2021'!$D79</f>
        <v>30429822</v>
      </c>
      <c r="E88" s="29" t="str">
        <f>+'[2]Planilla  2021'!$E79</f>
        <v>RESTAURACION Y HABILITACIÓN MUSEO M. A. EN PALACIO J. M., P. ARENAS.  (DISEÑO)</v>
      </c>
      <c r="F88" s="51" t="str">
        <f>+'[2]Planilla  2021'!$G79</f>
        <v>Diseño</v>
      </c>
      <c r="G88" s="30" t="s">
        <v>2291</v>
      </c>
      <c r="H88" s="30" t="str">
        <f>+'[2]Planilla  2021'!$K79</f>
        <v>PUNTA ARENAS</v>
      </c>
      <c r="I88" s="95" t="s">
        <v>57</v>
      </c>
      <c r="J88" s="31">
        <f>+'[2]Planilla  2021'!$AW79</f>
        <v>244362</v>
      </c>
      <c r="K88" s="31">
        <f>+'[2]Planilla  2021'!$AK79</f>
        <v>218437</v>
      </c>
      <c r="L88" s="76">
        <f>+'[2]Planilla  2021'!$BJ79</f>
        <v>0</v>
      </c>
      <c r="M88" s="80">
        <v>21480</v>
      </c>
      <c r="N88" s="31"/>
      <c r="O88" s="81"/>
      <c r="P88" s="80"/>
      <c r="Q88" s="31"/>
      <c r="R88" s="81"/>
      <c r="S88" s="80"/>
      <c r="T88" s="31"/>
      <c r="U88" s="81"/>
      <c r="V88" s="80"/>
      <c r="W88" s="31"/>
      <c r="X88" s="81"/>
      <c r="Y88" s="31">
        <f t="shared" si="2"/>
        <v>21480</v>
      </c>
      <c r="Z88" s="32">
        <v>25922</v>
      </c>
      <c r="AA88" s="33">
        <v>3</v>
      </c>
      <c r="AB88" s="34">
        <v>44217</v>
      </c>
      <c r="AC88" s="55">
        <v>44221</v>
      </c>
      <c r="AD88" s="60"/>
      <c r="AE88" s="35"/>
      <c r="AF88" s="36"/>
      <c r="AG88" s="61"/>
      <c r="AH88" s="60"/>
      <c r="AI88" s="35"/>
      <c r="AJ88" s="36"/>
      <c r="AK88" s="61"/>
      <c r="AL88" s="60"/>
      <c r="AM88" s="35"/>
      <c r="AN88" s="61"/>
      <c r="AO88" s="61"/>
      <c r="AP88" s="60"/>
      <c r="AQ88" s="35"/>
      <c r="AR88" s="36"/>
      <c r="AS88" s="61"/>
      <c r="AT88" s="37">
        <f t="shared" si="3"/>
        <v>25922</v>
      </c>
      <c r="AU88" s="38">
        <f t="shared" si="4"/>
        <v>4442</v>
      </c>
    </row>
    <row r="89" spans="2:47" s="26" customFormat="1" ht="22.5" x14ac:dyDescent="0.25">
      <c r="B89" s="27">
        <v>74</v>
      </c>
      <c r="C89" s="27" t="s">
        <v>39</v>
      </c>
      <c r="D89" s="50">
        <f>+'[2]Planilla  2021'!$D80</f>
        <v>30447372</v>
      </c>
      <c r="E89" s="29" t="str">
        <f>+'[2]Planilla  2021'!$E80</f>
        <v>CONSTRUCCION PASEO URBANO CALLE CAPITÁN GUILLERMO, PUNTA ARENAS</v>
      </c>
      <c r="F89" s="51" t="str">
        <f>+'[2]Planilla  2021'!$G80</f>
        <v>Ejecución</v>
      </c>
      <c r="G89" s="30" t="s">
        <v>2291</v>
      </c>
      <c r="H89" s="30" t="str">
        <f>+'[2]Planilla  2021'!$K80</f>
        <v>PUNTA ARENAS</v>
      </c>
      <c r="I89" s="95" t="s">
        <v>57</v>
      </c>
      <c r="J89" s="31">
        <f>+'[2]Planilla  2021'!$AW80</f>
        <v>1254892</v>
      </c>
      <c r="K89" s="31">
        <f>+'[2]Planilla  2021'!$AK80</f>
        <v>994979</v>
      </c>
      <c r="L89" s="76">
        <f>+'[2]Planilla  2021'!$BJ80</f>
        <v>0</v>
      </c>
      <c r="M89" s="80"/>
      <c r="N89" s="31">
        <v>12747</v>
      </c>
      <c r="O89" s="81">
        <v>191078</v>
      </c>
      <c r="P89" s="80"/>
      <c r="Q89" s="31"/>
      <c r="R89" s="81"/>
      <c r="S89" s="80"/>
      <c r="T89" s="31"/>
      <c r="U89" s="81"/>
      <c r="V89" s="80"/>
      <c r="W89" s="31"/>
      <c r="X89" s="81"/>
      <c r="Y89" s="31">
        <f t="shared" si="2"/>
        <v>203825</v>
      </c>
      <c r="Z89" s="32">
        <f>193028</f>
        <v>193028</v>
      </c>
      <c r="AA89" s="33">
        <v>3</v>
      </c>
      <c r="AB89" s="34">
        <v>44217</v>
      </c>
      <c r="AC89" s="55">
        <v>44221</v>
      </c>
      <c r="AD89" s="60"/>
      <c r="AE89" s="35"/>
      <c r="AF89" s="36"/>
      <c r="AG89" s="61"/>
      <c r="AH89" s="60"/>
      <c r="AI89" s="35"/>
      <c r="AJ89" s="36"/>
      <c r="AK89" s="61"/>
      <c r="AL89" s="60">
        <f>20659</f>
        <v>20659</v>
      </c>
      <c r="AM89" s="35">
        <v>13</v>
      </c>
      <c r="AN89" s="61">
        <v>44277</v>
      </c>
      <c r="AO89" s="61">
        <v>44281</v>
      </c>
      <c r="AP89" s="60"/>
      <c r="AQ89" s="35"/>
      <c r="AR89" s="36"/>
      <c r="AS89" s="61"/>
      <c r="AT89" s="37">
        <f t="shared" si="3"/>
        <v>213687</v>
      </c>
      <c r="AU89" s="38">
        <f t="shared" si="4"/>
        <v>9862</v>
      </c>
    </row>
    <row r="90" spans="2:47" s="26" customFormat="1" ht="22.5" x14ac:dyDescent="0.25">
      <c r="B90" s="27">
        <v>75</v>
      </c>
      <c r="C90" s="27" t="s">
        <v>39</v>
      </c>
      <c r="D90" s="50">
        <f>+'[2]Planilla  2021'!$D81</f>
        <v>30472595</v>
      </c>
      <c r="E90" s="29" t="str">
        <f>+'[2]Planilla  2021'!$E81</f>
        <v>MEJORAMIENTO CALLE EUSEBIO PIZARRO, COMUNA PUNTA ARENAS, XII REGIÓN</v>
      </c>
      <c r="F90" s="51" t="str">
        <f>+'[2]Planilla  2021'!$G81</f>
        <v>Ejecución</v>
      </c>
      <c r="G90" s="30" t="s">
        <v>2291</v>
      </c>
      <c r="H90" s="30" t="str">
        <f>+'[2]Planilla  2021'!$K81</f>
        <v>PUNTA ARENAS</v>
      </c>
      <c r="I90" s="95" t="s">
        <v>57</v>
      </c>
      <c r="J90" s="31">
        <f>+'[2]Planilla  2021'!$AW81</f>
        <v>1038094</v>
      </c>
      <c r="K90" s="31">
        <f>+'[2]Planilla  2021'!$AK81</f>
        <v>980468</v>
      </c>
      <c r="L90" s="76">
        <f>+'[2]Planilla  2021'!$BJ81</f>
        <v>2465</v>
      </c>
      <c r="M90" s="80"/>
      <c r="N90" s="31">
        <v>41867</v>
      </c>
      <c r="O90" s="81"/>
      <c r="P90" s="80"/>
      <c r="Q90" s="31"/>
      <c r="R90" s="81"/>
      <c r="S90" s="80"/>
      <c r="T90" s="31"/>
      <c r="U90" s="81"/>
      <c r="V90" s="80"/>
      <c r="W90" s="31"/>
      <c r="X90" s="81"/>
      <c r="Y90" s="31">
        <f t="shared" si="2"/>
        <v>41867</v>
      </c>
      <c r="Z90" s="32">
        <v>55161</v>
      </c>
      <c r="AA90" s="33">
        <v>3</v>
      </c>
      <c r="AB90" s="34">
        <v>44217</v>
      </c>
      <c r="AC90" s="55">
        <v>44221</v>
      </c>
      <c r="AD90" s="60"/>
      <c r="AE90" s="35"/>
      <c r="AF90" s="36"/>
      <c r="AG90" s="61"/>
      <c r="AH90" s="60"/>
      <c r="AI90" s="35"/>
      <c r="AJ90" s="36"/>
      <c r="AK90" s="61"/>
      <c r="AL90" s="60"/>
      <c r="AM90" s="35"/>
      <c r="AN90" s="61"/>
      <c r="AO90" s="61"/>
      <c r="AP90" s="60"/>
      <c r="AQ90" s="35"/>
      <c r="AR90" s="36"/>
      <c r="AS90" s="61"/>
      <c r="AT90" s="37">
        <f t="shared" ref="AT90:AT122" si="5">+Z90+AD90+AH90+AL90+AP90</f>
        <v>55161</v>
      </c>
      <c r="AU90" s="38">
        <f t="shared" ref="AU90:AU122" si="6">+AT90-Y90</f>
        <v>13294</v>
      </c>
    </row>
    <row r="91" spans="2:47" s="26" customFormat="1" ht="22.5" x14ac:dyDescent="0.25">
      <c r="B91" s="27">
        <v>76</v>
      </c>
      <c r="C91" s="27" t="s">
        <v>39</v>
      </c>
      <c r="D91" s="50">
        <f>+'[2]Planilla  2021'!$D82</f>
        <v>30473835</v>
      </c>
      <c r="E91" s="29" t="str">
        <f>+'[2]Planilla  2021'!$E82</f>
        <v>CONSTRUCCIÓN SEDE ASOC. DEP. REGIONAL MAXIBÁSQUETBOL DE MAGALLANES</v>
      </c>
      <c r="F91" s="51" t="str">
        <f>+'[2]Planilla  2021'!$G82</f>
        <v>Ejecución</v>
      </c>
      <c r="G91" s="30" t="s">
        <v>2291</v>
      </c>
      <c r="H91" s="30" t="str">
        <f>+'[2]Planilla  2021'!$K82</f>
        <v>PUNTA ARENAS</v>
      </c>
      <c r="I91" s="95" t="s">
        <v>57</v>
      </c>
      <c r="J91" s="31">
        <f>+'[2]Planilla  2021'!$AW82</f>
        <v>219218</v>
      </c>
      <c r="K91" s="31">
        <f>+'[2]Planilla  2021'!$AK82</f>
        <v>0</v>
      </c>
      <c r="L91" s="76">
        <f>+'[2]Planilla  2021'!$BJ82</f>
        <v>0</v>
      </c>
      <c r="M91" s="80"/>
      <c r="N91" s="31">
        <v>2462</v>
      </c>
      <c r="O91" s="81">
        <v>1231</v>
      </c>
      <c r="P91" s="80"/>
      <c r="Q91" s="31"/>
      <c r="R91" s="81"/>
      <c r="S91" s="80"/>
      <c r="T91" s="31"/>
      <c r="U91" s="81"/>
      <c r="V91" s="80"/>
      <c r="W91" s="31"/>
      <c r="X91" s="81"/>
      <c r="Y91" s="31">
        <f t="shared" si="2"/>
        <v>3693</v>
      </c>
      <c r="Z91" s="32">
        <v>219218</v>
      </c>
      <c r="AA91" s="33">
        <v>3</v>
      </c>
      <c r="AB91" s="34">
        <v>44217</v>
      </c>
      <c r="AC91" s="55">
        <v>44221</v>
      </c>
      <c r="AD91" s="60"/>
      <c r="AE91" s="35"/>
      <c r="AF91" s="36"/>
      <c r="AG91" s="61"/>
      <c r="AH91" s="60"/>
      <c r="AI91" s="35"/>
      <c r="AJ91" s="36"/>
      <c r="AK91" s="61"/>
      <c r="AL91" s="60"/>
      <c r="AM91" s="35"/>
      <c r="AN91" s="61"/>
      <c r="AO91" s="61"/>
      <c r="AP91" s="60"/>
      <c r="AQ91" s="35"/>
      <c r="AR91" s="36"/>
      <c r="AS91" s="61"/>
      <c r="AT91" s="37">
        <f t="shared" si="5"/>
        <v>219218</v>
      </c>
      <c r="AU91" s="38">
        <f t="shared" si="6"/>
        <v>215525</v>
      </c>
    </row>
    <row r="92" spans="2:47" s="26" customFormat="1" ht="22.5" x14ac:dyDescent="0.25">
      <c r="B92" s="27">
        <v>77</v>
      </c>
      <c r="C92" s="27" t="s">
        <v>39</v>
      </c>
      <c r="D92" s="50">
        <f>+'[2]Planilla  2021'!$D83</f>
        <v>30474241</v>
      </c>
      <c r="E92" s="29" t="str">
        <f>+'[2]Planilla  2021'!$E83</f>
        <v>REPOSICION GIMNASIO Y MEJOR. ANEXOS COMPLEJO DEP. 18 SEP. P. ARENAS</v>
      </c>
      <c r="F92" s="51" t="str">
        <f>+'[2]Planilla  2021'!$G83</f>
        <v>Ejecución</v>
      </c>
      <c r="G92" s="30" t="s">
        <v>2291</v>
      </c>
      <c r="H92" s="30" t="str">
        <f>+'[2]Planilla  2021'!$K83</f>
        <v>PUNTA ARENAS</v>
      </c>
      <c r="I92" s="95" t="s">
        <v>57</v>
      </c>
      <c r="J92" s="31">
        <f>+'[2]Planilla  2021'!$AW83</f>
        <v>11961571</v>
      </c>
      <c r="K92" s="31">
        <f>+'[2]Planilla  2021'!$AK83</f>
        <v>6136</v>
      </c>
      <c r="L92" s="76">
        <f>+'[2]Planilla  2021'!$BJ83</f>
        <v>5661440</v>
      </c>
      <c r="M92" s="80"/>
      <c r="N92" s="31"/>
      <c r="O92" s="81"/>
      <c r="P92" s="80"/>
      <c r="Q92" s="31"/>
      <c r="R92" s="81"/>
      <c r="S92" s="80"/>
      <c r="T92" s="31"/>
      <c r="U92" s="81"/>
      <c r="V92" s="80"/>
      <c r="W92" s="31"/>
      <c r="X92" s="81"/>
      <c r="Y92" s="31">
        <f t="shared" si="2"/>
        <v>0</v>
      </c>
      <c r="Z92" s="32">
        <v>2528154</v>
      </c>
      <c r="AA92" s="33">
        <v>3</v>
      </c>
      <c r="AB92" s="34">
        <v>44217</v>
      </c>
      <c r="AC92" s="55">
        <v>44221</v>
      </c>
      <c r="AD92" s="60"/>
      <c r="AE92" s="35"/>
      <c r="AF92" s="36"/>
      <c r="AG92" s="61"/>
      <c r="AH92" s="60"/>
      <c r="AI92" s="35"/>
      <c r="AJ92" s="36"/>
      <c r="AK92" s="61"/>
      <c r="AL92" s="60"/>
      <c r="AM92" s="35"/>
      <c r="AN92" s="61"/>
      <c r="AO92" s="61"/>
      <c r="AP92" s="60"/>
      <c r="AQ92" s="35"/>
      <c r="AR92" s="36"/>
      <c r="AS92" s="61"/>
      <c r="AT92" s="37">
        <f t="shared" si="5"/>
        <v>2528154</v>
      </c>
      <c r="AU92" s="38">
        <f t="shared" si="6"/>
        <v>2528154</v>
      </c>
    </row>
    <row r="93" spans="2:47" s="26" customFormat="1" ht="22.5" x14ac:dyDescent="0.25">
      <c r="B93" s="27">
        <v>78</v>
      </c>
      <c r="C93" s="27" t="s">
        <v>39</v>
      </c>
      <c r="D93" s="50">
        <f>+'[2]Planilla  2021'!$D84</f>
        <v>30476635</v>
      </c>
      <c r="E93" s="29" t="str">
        <f>+'[2]Planilla  2021'!$E84</f>
        <v>MEJORAMIENTO INTEGRAL CENTRO COSTUMBRISTA LAGUNA BLANCA</v>
      </c>
      <c r="F93" s="51" t="str">
        <f>+'[2]Planilla  2021'!$G84</f>
        <v>Diseño</v>
      </c>
      <c r="G93" s="30" t="s">
        <v>2291</v>
      </c>
      <c r="H93" s="30" t="str">
        <f>+'[2]Planilla  2021'!$K84</f>
        <v>LAGUNA BLANCA</v>
      </c>
      <c r="I93" s="95" t="s">
        <v>57</v>
      </c>
      <c r="J93" s="31">
        <f>+'[2]Planilla  2021'!$AW84</f>
        <v>71154</v>
      </c>
      <c r="K93" s="31">
        <f>+'[2]Planilla  2021'!$AK84</f>
        <v>44639</v>
      </c>
      <c r="L93" s="76">
        <f>+'[2]Planilla  2021'!$BJ84</f>
        <v>1619</v>
      </c>
      <c r="M93" s="80"/>
      <c r="N93" s="31"/>
      <c r="O93" s="81"/>
      <c r="P93" s="80"/>
      <c r="Q93" s="31"/>
      <c r="R93" s="81"/>
      <c r="S93" s="80"/>
      <c r="T93" s="31"/>
      <c r="U93" s="81"/>
      <c r="V93" s="80"/>
      <c r="W93" s="31"/>
      <c r="X93" s="81"/>
      <c r="Y93" s="31">
        <f t="shared" si="2"/>
        <v>0</v>
      </c>
      <c r="Z93" s="32">
        <v>24896</v>
      </c>
      <c r="AA93" s="33">
        <v>3</v>
      </c>
      <c r="AB93" s="34">
        <v>44217</v>
      </c>
      <c r="AC93" s="55">
        <v>44221</v>
      </c>
      <c r="AD93" s="60"/>
      <c r="AE93" s="35"/>
      <c r="AF93" s="36"/>
      <c r="AG93" s="61"/>
      <c r="AH93" s="60"/>
      <c r="AI93" s="35"/>
      <c r="AJ93" s="36"/>
      <c r="AK93" s="61"/>
      <c r="AL93" s="60"/>
      <c r="AM93" s="35"/>
      <c r="AN93" s="61"/>
      <c r="AO93" s="61"/>
      <c r="AP93" s="60"/>
      <c r="AQ93" s="35"/>
      <c r="AR93" s="36"/>
      <c r="AS93" s="61"/>
      <c r="AT93" s="37">
        <f t="shared" si="5"/>
        <v>24896</v>
      </c>
      <c r="AU93" s="38">
        <f t="shared" si="6"/>
        <v>24896</v>
      </c>
    </row>
    <row r="94" spans="2:47" s="26" customFormat="1" ht="22.5" x14ac:dyDescent="0.25">
      <c r="B94" s="27">
        <v>79</v>
      </c>
      <c r="C94" s="27" t="s">
        <v>39</v>
      </c>
      <c r="D94" s="50">
        <f>+'[2]Planilla  2021'!$D85</f>
        <v>30481458</v>
      </c>
      <c r="E94" s="29" t="str">
        <f>+'[2]Planilla  2021'!$E85</f>
        <v>CONSERVACIÓN ACERAS CALLE CARLOS CONDELL Y OTRAS, NATALES</v>
      </c>
      <c r="F94" s="51" t="str">
        <f>+'[2]Planilla  2021'!$G85</f>
        <v>Ejecución</v>
      </c>
      <c r="G94" s="30" t="s">
        <v>2291</v>
      </c>
      <c r="H94" s="30" t="str">
        <f>+'[2]Planilla  2021'!$K85</f>
        <v>NATALES</v>
      </c>
      <c r="I94" s="95" t="s">
        <v>57</v>
      </c>
      <c r="J94" s="31">
        <f>+'[2]Planilla  2021'!$AW85</f>
        <v>442386</v>
      </c>
      <c r="K94" s="31">
        <f>+'[2]Planilla  2021'!$AK85</f>
        <v>430609</v>
      </c>
      <c r="L94" s="76">
        <f>+'[2]Planilla  2021'!$BJ85</f>
        <v>0</v>
      </c>
      <c r="M94" s="80"/>
      <c r="N94" s="31"/>
      <c r="O94" s="81"/>
      <c r="P94" s="80"/>
      <c r="Q94" s="31"/>
      <c r="R94" s="81"/>
      <c r="S94" s="80"/>
      <c r="T94" s="31"/>
      <c r="U94" s="81"/>
      <c r="V94" s="80"/>
      <c r="W94" s="31"/>
      <c r="X94" s="81"/>
      <c r="Y94" s="31">
        <f t="shared" si="2"/>
        <v>0</v>
      </c>
      <c r="Z94" s="32">
        <v>11777</v>
      </c>
      <c r="AA94" s="33">
        <v>3</v>
      </c>
      <c r="AB94" s="34">
        <v>44217</v>
      </c>
      <c r="AC94" s="55">
        <v>44221</v>
      </c>
      <c r="AD94" s="60"/>
      <c r="AE94" s="35"/>
      <c r="AF94" s="36"/>
      <c r="AG94" s="61"/>
      <c r="AH94" s="60"/>
      <c r="AI94" s="35"/>
      <c r="AJ94" s="36"/>
      <c r="AK94" s="61"/>
      <c r="AL94" s="60"/>
      <c r="AM94" s="35"/>
      <c r="AN94" s="61"/>
      <c r="AO94" s="61"/>
      <c r="AP94" s="60"/>
      <c r="AQ94" s="35"/>
      <c r="AR94" s="36"/>
      <c r="AS94" s="61"/>
      <c r="AT94" s="37">
        <f t="shared" si="5"/>
        <v>11777</v>
      </c>
      <c r="AU94" s="38">
        <f t="shared" si="6"/>
        <v>11777</v>
      </c>
    </row>
    <row r="95" spans="2:47" s="26" customFormat="1" ht="22.5" x14ac:dyDescent="0.25">
      <c r="B95" s="27">
        <v>80</v>
      </c>
      <c r="C95" s="27" t="s">
        <v>39</v>
      </c>
      <c r="D95" s="50">
        <f>+'[2]Planilla  2021'!$D86</f>
        <v>30481767</v>
      </c>
      <c r="E95" s="29" t="str">
        <f>+'[2]Planilla  2021'!$E86</f>
        <v>MEJORAMIENTO PLAZOLETA CACIQUE PAPON, PUNTA ARENAS</v>
      </c>
      <c r="F95" s="51" t="str">
        <f>+'[2]Planilla  2021'!$G86</f>
        <v>Ejecución</v>
      </c>
      <c r="G95" s="30" t="s">
        <v>2291</v>
      </c>
      <c r="H95" s="30" t="str">
        <f>+'[2]Planilla  2021'!$K86</f>
        <v>PUNTA ARENAS</v>
      </c>
      <c r="I95" s="95" t="s">
        <v>57</v>
      </c>
      <c r="J95" s="31">
        <f>+'[2]Planilla  2021'!$AW86</f>
        <v>169374</v>
      </c>
      <c r="K95" s="31">
        <f>+'[2]Planilla  2021'!$AK86</f>
        <v>113000</v>
      </c>
      <c r="L95" s="76">
        <f>+'[2]Planilla  2021'!$BJ86</f>
        <v>0</v>
      </c>
      <c r="M95" s="80"/>
      <c r="N95" s="31">
        <v>8901</v>
      </c>
      <c r="O95" s="81">
        <v>16987</v>
      </c>
      <c r="P95" s="80"/>
      <c r="Q95" s="31"/>
      <c r="R95" s="81"/>
      <c r="S95" s="80"/>
      <c r="T95" s="31"/>
      <c r="U95" s="81"/>
      <c r="V95" s="80"/>
      <c r="W95" s="31"/>
      <c r="X95" s="81"/>
      <c r="Y95" s="31">
        <f t="shared" si="2"/>
        <v>25888</v>
      </c>
      <c r="Z95" s="32">
        <f>32156</f>
        <v>32156</v>
      </c>
      <c r="AA95" s="33">
        <v>3</v>
      </c>
      <c r="AB95" s="34">
        <v>44217</v>
      </c>
      <c r="AC95" s="55">
        <v>44221</v>
      </c>
      <c r="AD95" s="60"/>
      <c r="AE95" s="35"/>
      <c r="AF95" s="36"/>
      <c r="AG95" s="61"/>
      <c r="AH95" s="60"/>
      <c r="AI95" s="35"/>
      <c r="AJ95" s="36"/>
      <c r="AK95" s="61"/>
      <c r="AL95" s="60">
        <f>7999</f>
        <v>7999</v>
      </c>
      <c r="AM95" s="35">
        <v>13</v>
      </c>
      <c r="AN95" s="61">
        <v>44277</v>
      </c>
      <c r="AO95" s="61">
        <v>44281</v>
      </c>
      <c r="AP95" s="60"/>
      <c r="AQ95" s="35"/>
      <c r="AR95" s="36"/>
      <c r="AS95" s="61"/>
      <c r="AT95" s="37">
        <f t="shared" si="5"/>
        <v>40155</v>
      </c>
      <c r="AU95" s="38">
        <f t="shared" si="6"/>
        <v>14267</v>
      </c>
    </row>
    <row r="96" spans="2:47" s="26" customFormat="1" ht="22.5" x14ac:dyDescent="0.25">
      <c r="B96" s="27">
        <v>81</v>
      </c>
      <c r="C96" s="27" t="s">
        <v>39</v>
      </c>
      <c r="D96" s="50">
        <f>+'[2]Planilla  2021'!$D87</f>
        <v>30483953</v>
      </c>
      <c r="E96" s="29" t="str">
        <f>+'[2]Planilla  2021'!$E87</f>
        <v>CONSERVACION VÍAS URBANAS XII REGIÓN AÑO 2017-2020</v>
      </c>
      <c r="F96" s="51" t="str">
        <f>+'[2]Planilla  2021'!$G87</f>
        <v>Ejecución</v>
      </c>
      <c r="G96" s="30" t="s">
        <v>2291</v>
      </c>
      <c r="H96" s="30" t="str">
        <f>+'[2]Planilla  2021'!$K87</f>
        <v>INTERCOMUNAL</v>
      </c>
      <c r="I96" s="95" t="s">
        <v>57</v>
      </c>
      <c r="J96" s="31">
        <f>+'[2]Planilla  2021'!$AW87</f>
        <v>4123092</v>
      </c>
      <c r="K96" s="31">
        <f>+'[2]Planilla  2021'!$AK87</f>
        <v>3572424</v>
      </c>
      <c r="L96" s="76">
        <f>+'[2]Planilla  2021'!$BJ87</f>
        <v>10000</v>
      </c>
      <c r="M96" s="80"/>
      <c r="N96" s="31">
        <v>104366</v>
      </c>
      <c r="O96" s="81">
        <v>75114</v>
      </c>
      <c r="P96" s="80"/>
      <c r="Q96" s="31"/>
      <c r="R96" s="81"/>
      <c r="S96" s="80"/>
      <c r="T96" s="31"/>
      <c r="U96" s="81"/>
      <c r="V96" s="80"/>
      <c r="W96" s="31"/>
      <c r="X96" s="81"/>
      <c r="Y96" s="31">
        <f t="shared" si="2"/>
        <v>179480</v>
      </c>
      <c r="Z96" s="32">
        <v>425668</v>
      </c>
      <c r="AA96" s="33">
        <v>3</v>
      </c>
      <c r="AB96" s="34">
        <v>44217</v>
      </c>
      <c r="AC96" s="55">
        <v>44221</v>
      </c>
      <c r="AD96" s="60"/>
      <c r="AE96" s="35"/>
      <c r="AF96" s="36"/>
      <c r="AG96" s="61"/>
      <c r="AH96" s="60"/>
      <c r="AI96" s="35"/>
      <c r="AJ96" s="36"/>
      <c r="AK96" s="61"/>
      <c r="AL96" s="60"/>
      <c r="AM96" s="35"/>
      <c r="AN96" s="61"/>
      <c r="AO96" s="61"/>
      <c r="AP96" s="60"/>
      <c r="AQ96" s="35"/>
      <c r="AR96" s="36"/>
      <c r="AS96" s="61"/>
      <c r="AT96" s="37">
        <f t="shared" si="5"/>
        <v>425668</v>
      </c>
      <c r="AU96" s="38">
        <f t="shared" si="6"/>
        <v>246188</v>
      </c>
    </row>
    <row r="97" spans="2:47" s="26" customFormat="1" ht="22.5" x14ac:dyDescent="0.25">
      <c r="B97" s="27">
        <v>82</v>
      </c>
      <c r="C97" s="27" t="s">
        <v>39</v>
      </c>
      <c r="D97" s="50">
        <f>+'[2]Planilla  2021'!$D88</f>
        <v>30484048</v>
      </c>
      <c r="E97" s="29" t="str">
        <f>+'[2]Planilla  2021'!$E88</f>
        <v>MEJORAMIENTO PLAZOLETA AV. BULNES U.V. N°27, PUNTA ARENAS</v>
      </c>
      <c r="F97" s="51" t="str">
        <f>+'[2]Planilla  2021'!$G88</f>
        <v>Ejecución</v>
      </c>
      <c r="G97" s="30" t="s">
        <v>2291</v>
      </c>
      <c r="H97" s="30" t="str">
        <f>+'[2]Planilla  2021'!$K88</f>
        <v>PUNTA ARENAS</v>
      </c>
      <c r="I97" s="95" t="s">
        <v>57</v>
      </c>
      <c r="J97" s="31">
        <f>+'[2]Planilla  2021'!$AW88</f>
        <v>647673</v>
      </c>
      <c r="K97" s="31">
        <f>+'[2]Planilla  2021'!$AK88</f>
        <v>601179</v>
      </c>
      <c r="L97" s="76">
        <f>+'[2]Planilla  2021'!$BJ88</f>
        <v>0</v>
      </c>
      <c r="M97" s="80"/>
      <c r="N97" s="31"/>
      <c r="O97" s="81">
        <v>43635</v>
      </c>
      <c r="P97" s="80"/>
      <c r="Q97" s="31"/>
      <c r="R97" s="81"/>
      <c r="S97" s="80"/>
      <c r="T97" s="31"/>
      <c r="U97" s="81"/>
      <c r="V97" s="80"/>
      <c r="W97" s="31"/>
      <c r="X97" s="81"/>
      <c r="Y97" s="31">
        <f t="shared" si="2"/>
        <v>43635</v>
      </c>
      <c r="Z97" s="32">
        <f>45964</f>
        <v>45964</v>
      </c>
      <c r="AA97" s="33">
        <v>3</v>
      </c>
      <c r="AB97" s="34">
        <v>44217</v>
      </c>
      <c r="AC97" s="55">
        <v>44221</v>
      </c>
      <c r="AD97" s="60"/>
      <c r="AE97" s="35"/>
      <c r="AF97" s="36"/>
      <c r="AG97" s="61"/>
      <c r="AH97" s="60"/>
      <c r="AI97" s="35"/>
      <c r="AJ97" s="36"/>
      <c r="AK97" s="61"/>
      <c r="AL97" s="60">
        <f>1636</f>
        <v>1636</v>
      </c>
      <c r="AM97" s="35">
        <v>13</v>
      </c>
      <c r="AN97" s="61">
        <v>44277</v>
      </c>
      <c r="AO97" s="61">
        <v>44281</v>
      </c>
      <c r="AP97" s="60"/>
      <c r="AQ97" s="35"/>
      <c r="AR97" s="36"/>
      <c r="AS97" s="61"/>
      <c r="AT97" s="37">
        <f t="shared" si="5"/>
        <v>47600</v>
      </c>
      <c r="AU97" s="38">
        <f t="shared" si="6"/>
        <v>3965</v>
      </c>
    </row>
    <row r="98" spans="2:47" s="26" customFormat="1" ht="22.5" x14ac:dyDescent="0.25">
      <c r="B98" s="27">
        <v>83</v>
      </c>
      <c r="C98" s="27" t="s">
        <v>39</v>
      </c>
      <c r="D98" s="50">
        <f>+'[2]Planilla  2021'!$D89</f>
        <v>30484292</v>
      </c>
      <c r="E98" s="29" t="str">
        <f>+'[2]Planilla  2021'!$E89</f>
        <v>REPOSICION PRIMERA COMPAÑÍA DE BOMBEROS, PUERTO NATALES (DISEÑO)</v>
      </c>
      <c r="F98" s="51" t="str">
        <f>+'[2]Planilla  2021'!$G89</f>
        <v>Diseño</v>
      </c>
      <c r="G98" s="30" t="s">
        <v>2291</v>
      </c>
      <c r="H98" s="30" t="str">
        <f>+'[2]Planilla  2021'!$K89</f>
        <v>NATALES</v>
      </c>
      <c r="I98" s="95" t="s">
        <v>72</v>
      </c>
      <c r="J98" s="31">
        <f>+'[2]Planilla  2021'!$AW89</f>
        <v>83315</v>
      </c>
      <c r="K98" s="31">
        <f>+'[2]Planilla  2021'!$AK89</f>
        <v>0</v>
      </c>
      <c r="L98" s="76">
        <f>+'[2]Planilla  2021'!$BJ89</f>
        <v>17112</v>
      </c>
      <c r="M98" s="80"/>
      <c r="N98" s="31"/>
      <c r="O98" s="81"/>
      <c r="P98" s="80"/>
      <c r="Q98" s="31"/>
      <c r="R98" s="81"/>
      <c r="S98" s="80"/>
      <c r="T98" s="31"/>
      <c r="U98" s="81"/>
      <c r="V98" s="80"/>
      <c r="W98" s="31"/>
      <c r="X98" s="81"/>
      <c r="Y98" s="31">
        <f t="shared" si="2"/>
        <v>0</v>
      </c>
      <c r="Z98" s="32">
        <v>10000</v>
      </c>
      <c r="AA98" s="33">
        <v>3</v>
      </c>
      <c r="AB98" s="34">
        <v>44217</v>
      </c>
      <c r="AC98" s="55">
        <v>44221</v>
      </c>
      <c r="AD98" s="60"/>
      <c r="AE98" s="35"/>
      <c r="AF98" s="36"/>
      <c r="AG98" s="61"/>
      <c r="AH98" s="60"/>
      <c r="AI98" s="35"/>
      <c r="AJ98" s="36"/>
      <c r="AK98" s="61"/>
      <c r="AL98" s="60"/>
      <c r="AM98" s="35"/>
      <c r="AN98" s="36"/>
      <c r="AO98" s="61"/>
      <c r="AP98" s="60"/>
      <c r="AQ98" s="35"/>
      <c r="AR98" s="36"/>
      <c r="AS98" s="61"/>
      <c r="AT98" s="37">
        <f t="shared" si="5"/>
        <v>10000</v>
      </c>
      <c r="AU98" s="38">
        <f t="shared" si="6"/>
        <v>10000</v>
      </c>
    </row>
    <row r="99" spans="2:47" s="26" customFormat="1" ht="22.5" x14ac:dyDescent="0.25">
      <c r="B99" s="27">
        <v>84</v>
      </c>
      <c r="C99" s="27" t="s">
        <v>39</v>
      </c>
      <c r="D99" s="50">
        <f>+'[2]Planilla  2021'!$D90</f>
        <v>30484686</v>
      </c>
      <c r="E99" s="29" t="str">
        <f>+'[2]Planilla  2021'!$E90</f>
        <v>CONSTRUCCION PUENTE RANCAGUA - C. VIDELA, PUNTA ARENAS. XII REGIÓN</v>
      </c>
      <c r="F99" s="51" t="str">
        <f>+'[2]Planilla  2021'!$G90</f>
        <v>Diseño</v>
      </c>
      <c r="G99" s="30" t="s">
        <v>2291</v>
      </c>
      <c r="H99" s="30" t="str">
        <f>+'[2]Planilla  2021'!$K90</f>
        <v>PUNTA ARENAS</v>
      </c>
      <c r="I99" s="95" t="s">
        <v>57</v>
      </c>
      <c r="J99" s="31">
        <f>+'[2]Planilla  2021'!$AW90</f>
        <v>173040</v>
      </c>
      <c r="K99" s="31">
        <f>+'[2]Planilla  2021'!$AK90</f>
        <v>155079</v>
      </c>
      <c r="L99" s="76">
        <f>+'[2]Planilla  2021'!$BJ90</f>
        <v>0</v>
      </c>
      <c r="M99" s="80"/>
      <c r="N99" s="31"/>
      <c r="O99" s="81"/>
      <c r="P99" s="80"/>
      <c r="Q99" s="31"/>
      <c r="R99" s="81"/>
      <c r="S99" s="80"/>
      <c r="T99" s="31"/>
      <c r="U99" s="81"/>
      <c r="V99" s="80"/>
      <c r="W99" s="31"/>
      <c r="X99" s="81"/>
      <c r="Y99" s="31">
        <f t="shared" si="2"/>
        <v>0</v>
      </c>
      <c r="Z99" s="32">
        <v>17961</v>
      </c>
      <c r="AA99" s="33">
        <v>3</v>
      </c>
      <c r="AB99" s="34">
        <v>44217</v>
      </c>
      <c r="AC99" s="55">
        <v>44221</v>
      </c>
      <c r="AD99" s="60"/>
      <c r="AE99" s="35"/>
      <c r="AF99" s="36"/>
      <c r="AG99" s="61"/>
      <c r="AH99" s="60"/>
      <c r="AI99" s="35"/>
      <c r="AJ99" s="36"/>
      <c r="AK99" s="61"/>
      <c r="AL99" s="60"/>
      <c r="AM99" s="35"/>
      <c r="AN99" s="36"/>
      <c r="AO99" s="61"/>
      <c r="AP99" s="60"/>
      <c r="AQ99" s="35"/>
      <c r="AR99" s="36"/>
      <c r="AS99" s="61"/>
      <c r="AT99" s="37">
        <f t="shared" si="5"/>
        <v>17961</v>
      </c>
      <c r="AU99" s="38">
        <f t="shared" si="6"/>
        <v>17961</v>
      </c>
    </row>
    <row r="100" spans="2:47" s="26" customFormat="1" ht="22.5" x14ac:dyDescent="0.25">
      <c r="B100" s="27">
        <v>85</v>
      </c>
      <c r="C100" s="27" t="s">
        <v>39</v>
      </c>
      <c r="D100" s="50">
        <f>+'[2]Planilla  2021'!$D91</f>
        <v>40002015</v>
      </c>
      <c r="E100" s="29" t="str">
        <f>+'[2]Planilla  2021'!$E91</f>
        <v>MEJORAMIENTO PLAZOLETAS SECTOR SUR I, PUNTA ARENAS</v>
      </c>
      <c r="F100" s="51" t="str">
        <f>+'[2]Planilla  2021'!$G91</f>
        <v>Ejecución</v>
      </c>
      <c r="G100" s="30" t="s">
        <v>2291</v>
      </c>
      <c r="H100" s="30" t="str">
        <f>+'[2]Planilla  2021'!$K91</f>
        <v>PUNTA ARENAS</v>
      </c>
      <c r="I100" s="95" t="s">
        <v>57</v>
      </c>
      <c r="J100" s="31">
        <f>+'[2]Planilla  2021'!$AW91</f>
        <v>1353240</v>
      </c>
      <c r="K100" s="31">
        <f>+'[2]Planilla  2021'!$AK91</f>
        <v>0</v>
      </c>
      <c r="L100" s="76">
        <f>+'[2]Planilla  2021'!$BJ91</f>
        <v>541137</v>
      </c>
      <c r="M100" s="80"/>
      <c r="N100" s="31">
        <v>73987</v>
      </c>
      <c r="O100" s="81">
        <v>24437</v>
      </c>
      <c r="P100" s="80"/>
      <c r="Q100" s="31"/>
      <c r="R100" s="81"/>
      <c r="S100" s="80"/>
      <c r="T100" s="31"/>
      <c r="U100" s="81"/>
      <c r="V100" s="80"/>
      <c r="W100" s="31"/>
      <c r="X100" s="81"/>
      <c r="Y100" s="31">
        <f t="shared" si="2"/>
        <v>98424</v>
      </c>
      <c r="Z100" s="32">
        <v>356000</v>
      </c>
      <c r="AA100" s="33">
        <v>3</v>
      </c>
      <c r="AB100" s="34">
        <v>44217</v>
      </c>
      <c r="AC100" s="55">
        <v>44221</v>
      </c>
      <c r="AD100" s="60"/>
      <c r="AE100" s="35"/>
      <c r="AF100" s="36"/>
      <c r="AG100" s="61"/>
      <c r="AH100" s="60"/>
      <c r="AI100" s="35"/>
      <c r="AJ100" s="36"/>
      <c r="AK100" s="61"/>
      <c r="AL100" s="60"/>
      <c r="AM100" s="35"/>
      <c r="AN100" s="36"/>
      <c r="AO100" s="61"/>
      <c r="AP100" s="60"/>
      <c r="AQ100" s="35"/>
      <c r="AR100" s="36"/>
      <c r="AS100" s="61"/>
      <c r="AT100" s="37">
        <f t="shared" si="5"/>
        <v>356000</v>
      </c>
      <c r="AU100" s="38">
        <f t="shared" si="6"/>
        <v>257576</v>
      </c>
    </row>
    <row r="101" spans="2:47" s="26" customFormat="1" ht="33.75" x14ac:dyDescent="0.25">
      <c r="B101" s="27">
        <v>86</v>
      </c>
      <c r="C101" s="27" t="s">
        <v>39</v>
      </c>
      <c r="D101" s="50">
        <f>+'[2]Planilla  2021'!$D92</f>
        <v>40005071</v>
      </c>
      <c r="E101" s="29" t="str">
        <f>+'[2]Planilla  2021'!$E92</f>
        <v>CONSTRUCCION MACRO INFRAESTRUCTURA URBANA TERRENOS SERVIU 2018, CABO DE HORNOS (PREFACTIBILIDAD</v>
      </c>
      <c r="F101" s="51" t="str">
        <f>+'[2]Planilla  2021'!$G92</f>
        <v>Prefactibilidad</v>
      </c>
      <c r="G101" s="30" t="s">
        <v>2291</v>
      </c>
      <c r="H101" s="30" t="str">
        <f>+'[2]Planilla  2021'!$K92</f>
        <v>CABO DE HORNOS</v>
      </c>
      <c r="I101" s="95" t="s">
        <v>57</v>
      </c>
      <c r="J101" s="31">
        <f>+'[2]Planilla  2021'!$AW92</f>
        <v>172199</v>
      </c>
      <c r="K101" s="31">
        <f>+'[2]Planilla  2021'!$AK92</f>
        <v>0</v>
      </c>
      <c r="L101" s="76">
        <f>+'[2]Planilla  2021'!$BJ92</f>
        <v>0</v>
      </c>
      <c r="M101" s="80"/>
      <c r="N101" s="31"/>
      <c r="O101" s="81"/>
      <c r="P101" s="80"/>
      <c r="Q101" s="31"/>
      <c r="R101" s="81"/>
      <c r="S101" s="80"/>
      <c r="T101" s="31"/>
      <c r="U101" s="81"/>
      <c r="V101" s="80"/>
      <c r="W101" s="31"/>
      <c r="X101" s="81"/>
      <c r="Y101" s="31">
        <f t="shared" si="2"/>
        <v>0</v>
      </c>
      <c r="Z101" s="32">
        <v>172199</v>
      </c>
      <c r="AA101" s="33">
        <v>3</v>
      </c>
      <c r="AB101" s="34">
        <v>44217</v>
      </c>
      <c r="AC101" s="55">
        <v>44221</v>
      </c>
      <c r="AD101" s="60"/>
      <c r="AE101" s="35"/>
      <c r="AF101" s="36"/>
      <c r="AG101" s="61"/>
      <c r="AH101" s="60"/>
      <c r="AI101" s="35"/>
      <c r="AJ101" s="36"/>
      <c r="AK101" s="61"/>
      <c r="AL101" s="60"/>
      <c r="AM101" s="35"/>
      <c r="AN101" s="36"/>
      <c r="AO101" s="61"/>
      <c r="AP101" s="60"/>
      <c r="AQ101" s="35"/>
      <c r="AR101" s="36"/>
      <c r="AS101" s="61"/>
      <c r="AT101" s="37">
        <f t="shared" si="5"/>
        <v>172199</v>
      </c>
      <c r="AU101" s="38">
        <f t="shared" si="6"/>
        <v>172199</v>
      </c>
    </row>
    <row r="102" spans="2:47" s="26" customFormat="1" ht="22.5" x14ac:dyDescent="0.25">
      <c r="B102" s="27">
        <v>87</v>
      </c>
      <c r="C102" s="27" t="s">
        <v>39</v>
      </c>
      <c r="D102" s="50">
        <f>+'[2]Planilla  2021'!$D93</f>
        <v>40006302</v>
      </c>
      <c r="E102" s="29" t="str">
        <f>+'[2]Planilla  2021'!$E93</f>
        <v>REPOSICION VEREDAS POBLACION 18 SEPTIEMBRE, PUNTA ARENAS</v>
      </c>
      <c r="F102" s="51" t="str">
        <f>+'[2]Planilla  2021'!$G93</f>
        <v>Ejecución</v>
      </c>
      <c r="G102" s="30" t="s">
        <v>2291</v>
      </c>
      <c r="H102" s="30" t="str">
        <f>+'[2]Planilla  2021'!$K93</f>
        <v>PUNTA ARENAS</v>
      </c>
      <c r="I102" s="95" t="s">
        <v>57</v>
      </c>
      <c r="J102" s="31">
        <f>+'[2]Planilla  2021'!$AW93</f>
        <v>1718570</v>
      </c>
      <c r="K102" s="31">
        <f>+'[2]Planilla  2021'!$AK93</f>
        <v>0</v>
      </c>
      <c r="L102" s="76">
        <f>+'[2]Planilla  2021'!$BJ93</f>
        <v>1250960</v>
      </c>
      <c r="M102" s="80"/>
      <c r="N102" s="31"/>
      <c r="O102" s="81"/>
      <c r="P102" s="80"/>
      <c r="Q102" s="31"/>
      <c r="R102" s="81"/>
      <c r="S102" s="80"/>
      <c r="T102" s="31"/>
      <c r="U102" s="81"/>
      <c r="V102" s="80"/>
      <c r="W102" s="31"/>
      <c r="X102" s="81"/>
      <c r="Y102" s="31">
        <f t="shared" si="2"/>
        <v>0</v>
      </c>
      <c r="Z102" s="32">
        <v>8485</v>
      </c>
      <c r="AA102" s="33">
        <v>3</v>
      </c>
      <c r="AB102" s="34">
        <v>44217</v>
      </c>
      <c r="AC102" s="55">
        <v>44221</v>
      </c>
      <c r="AD102" s="60"/>
      <c r="AE102" s="35"/>
      <c r="AF102" s="36"/>
      <c r="AG102" s="61"/>
      <c r="AH102" s="60"/>
      <c r="AI102" s="35"/>
      <c r="AJ102" s="36"/>
      <c r="AK102" s="61"/>
      <c r="AL102" s="60"/>
      <c r="AM102" s="35"/>
      <c r="AN102" s="36"/>
      <c r="AO102" s="61"/>
      <c r="AP102" s="60"/>
      <c r="AQ102" s="35"/>
      <c r="AR102" s="36"/>
      <c r="AS102" s="61"/>
      <c r="AT102" s="37">
        <f t="shared" si="5"/>
        <v>8485</v>
      </c>
      <c r="AU102" s="38">
        <f t="shared" si="6"/>
        <v>8485</v>
      </c>
    </row>
    <row r="103" spans="2:47" s="26" customFormat="1" ht="33.75" x14ac:dyDescent="0.25">
      <c r="B103" s="27">
        <v>88</v>
      </c>
      <c r="C103" s="27" t="s">
        <v>39</v>
      </c>
      <c r="D103" s="50">
        <f>+'[2]Planilla  2021'!$D94</f>
        <v>40009238</v>
      </c>
      <c r="E103" s="29" t="str">
        <f>+'[2]Planilla  2021'!$E94</f>
        <v>CONSERVACION SISTEMA DE CALEFACCIÓN Y OTRAS CASA DE LOS INTENDENTES, PUNTA ARENAS</v>
      </c>
      <c r="F103" s="51" t="str">
        <f>+'[2]Planilla  2021'!$G94</f>
        <v>Ejecución</v>
      </c>
      <c r="G103" s="30" t="s">
        <v>2291</v>
      </c>
      <c r="H103" s="30" t="str">
        <f>+'[2]Planilla  2021'!$K94</f>
        <v>PUNTA ARENAS</v>
      </c>
      <c r="I103" s="95" t="s">
        <v>57</v>
      </c>
      <c r="J103" s="31">
        <f>+'[2]Planilla  2021'!$AW94</f>
        <v>370803</v>
      </c>
      <c r="K103" s="31">
        <f>+'[2]Planilla  2021'!$AK94</f>
        <v>1000</v>
      </c>
      <c r="L103" s="76">
        <f>+'[2]Planilla  2021'!$BJ94</f>
        <v>0</v>
      </c>
      <c r="M103" s="80"/>
      <c r="N103" s="31"/>
      <c r="O103" s="81">
        <v>38311</v>
      </c>
      <c r="P103" s="80"/>
      <c r="Q103" s="31"/>
      <c r="R103" s="81"/>
      <c r="S103" s="80"/>
      <c r="T103" s="31"/>
      <c r="U103" s="81"/>
      <c r="V103" s="80"/>
      <c r="W103" s="31"/>
      <c r="X103" s="81"/>
      <c r="Y103" s="31">
        <f t="shared" si="2"/>
        <v>38311</v>
      </c>
      <c r="Z103" s="32">
        <v>369803</v>
      </c>
      <c r="AA103" s="33">
        <v>3</v>
      </c>
      <c r="AB103" s="34">
        <v>44217</v>
      </c>
      <c r="AC103" s="55">
        <v>44221</v>
      </c>
      <c r="AD103" s="60"/>
      <c r="AE103" s="35"/>
      <c r="AF103" s="36"/>
      <c r="AG103" s="61"/>
      <c r="AH103" s="60"/>
      <c r="AI103" s="35"/>
      <c r="AJ103" s="36"/>
      <c r="AK103" s="61"/>
      <c r="AL103" s="60"/>
      <c r="AM103" s="35"/>
      <c r="AN103" s="36"/>
      <c r="AO103" s="61"/>
      <c r="AP103" s="60"/>
      <c r="AQ103" s="35"/>
      <c r="AR103" s="36"/>
      <c r="AS103" s="61"/>
      <c r="AT103" s="37">
        <f t="shared" si="5"/>
        <v>369803</v>
      </c>
      <c r="AU103" s="38">
        <f t="shared" si="6"/>
        <v>331492</v>
      </c>
    </row>
    <row r="104" spans="2:47" s="26" customFormat="1" ht="33.75" x14ac:dyDescent="0.25">
      <c r="B104" s="27">
        <v>89</v>
      </c>
      <c r="C104" s="27" t="s">
        <v>39</v>
      </c>
      <c r="D104" s="50">
        <f>+'[2]Planilla  2021'!$D95</f>
        <v>40019276</v>
      </c>
      <c r="E104" s="29" t="str">
        <f>+'[2]Planilla  2021'!$E95</f>
        <v>CONSTRUCCION ALCANTARILLADO Y TRATAMIENTO AGUAS SERVIDAS VILLA CAMERON, TIMAUKEL</v>
      </c>
      <c r="F104" s="51" t="str">
        <f>+'[2]Planilla  2021'!$G95</f>
        <v>Ejecución</v>
      </c>
      <c r="G104" s="30" t="s">
        <v>2291</v>
      </c>
      <c r="H104" s="30" t="str">
        <f>+'[2]Planilla  2021'!$K95</f>
        <v>TIMAUKEL</v>
      </c>
      <c r="I104" s="95" t="s">
        <v>57</v>
      </c>
      <c r="J104" s="31">
        <f>+'[2]Planilla  2021'!$AW95</f>
        <v>801667</v>
      </c>
      <c r="K104" s="31">
        <f>+'[2]Planilla  2021'!$AK95</f>
        <v>0</v>
      </c>
      <c r="L104" s="76">
        <f>+'[2]Planilla  2021'!$BJ95</f>
        <v>0</v>
      </c>
      <c r="M104" s="80"/>
      <c r="N104" s="31"/>
      <c r="O104" s="81"/>
      <c r="P104" s="80"/>
      <c r="Q104" s="31"/>
      <c r="R104" s="81"/>
      <c r="S104" s="80"/>
      <c r="T104" s="31"/>
      <c r="U104" s="81"/>
      <c r="V104" s="80"/>
      <c r="W104" s="31"/>
      <c r="X104" s="81"/>
      <c r="Y104" s="31">
        <f t="shared" si="2"/>
        <v>0</v>
      </c>
      <c r="Z104" s="32">
        <v>801667</v>
      </c>
      <c r="AA104" s="33">
        <v>3</v>
      </c>
      <c r="AB104" s="34">
        <v>44217</v>
      </c>
      <c r="AC104" s="56">
        <v>44221</v>
      </c>
      <c r="AD104" s="60"/>
      <c r="AE104" s="35"/>
      <c r="AF104" s="36"/>
      <c r="AG104" s="61"/>
      <c r="AH104" s="60"/>
      <c r="AI104" s="35"/>
      <c r="AJ104" s="36"/>
      <c r="AK104" s="61"/>
      <c r="AL104" s="60"/>
      <c r="AM104" s="35"/>
      <c r="AN104" s="36"/>
      <c r="AO104" s="61"/>
      <c r="AP104" s="60"/>
      <c r="AQ104" s="35"/>
      <c r="AR104" s="36"/>
      <c r="AS104" s="61"/>
      <c r="AT104" s="37">
        <f t="shared" si="5"/>
        <v>801667</v>
      </c>
      <c r="AU104" s="38">
        <f t="shared" si="6"/>
        <v>801667</v>
      </c>
    </row>
    <row r="105" spans="2:47" s="26" customFormat="1" ht="22.5" x14ac:dyDescent="0.25">
      <c r="B105" s="27">
        <v>90</v>
      </c>
      <c r="C105" s="27" t="s">
        <v>39</v>
      </c>
      <c r="D105" s="50">
        <f>+'[2]Planilla  2021'!$D96</f>
        <v>30351234</v>
      </c>
      <c r="E105" s="29" t="str">
        <f>+'[2]Planilla  2021'!$E96</f>
        <v>CONSTRUCCION RED CONTRAINCENDIO CDP DE PORVENIR</v>
      </c>
      <c r="F105" s="51" t="str">
        <f>+'[2]Planilla  2021'!$G96</f>
        <v>Ejecución</v>
      </c>
      <c r="G105" s="30" t="s">
        <v>2291</v>
      </c>
      <c r="H105" s="30" t="str">
        <f>+'[2]Planilla  2021'!$K96</f>
        <v>PORVENIR</v>
      </c>
      <c r="I105" s="95" t="s">
        <v>72</v>
      </c>
      <c r="J105" s="31">
        <f>+'[2]Planilla  2021'!$AW96</f>
        <v>439722</v>
      </c>
      <c r="K105" s="31">
        <f>+'[2]Planilla  2021'!$AK96</f>
        <v>0</v>
      </c>
      <c r="L105" s="76">
        <f>+'[2]Planilla  2021'!$BJ96</f>
        <v>0</v>
      </c>
      <c r="M105" s="80"/>
      <c r="N105" s="31"/>
      <c r="O105" s="81"/>
      <c r="P105" s="80"/>
      <c r="Q105" s="31"/>
      <c r="R105" s="81"/>
      <c r="S105" s="80"/>
      <c r="T105" s="31"/>
      <c r="U105" s="81"/>
      <c r="V105" s="80"/>
      <c r="W105" s="31"/>
      <c r="X105" s="81"/>
      <c r="Y105" s="31">
        <f t="shared" si="2"/>
        <v>0</v>
      </c>
      <c r="Z105" s="32">
        <v>3000</v>
      </c>
      <c r="AA105" s="33">
        <v>4</v>
      </c>
      <c r="AB105" s="34">
        <v>44224</v>
      </c>
      <c r="AC105" s="56">
        <v>44236</v>
      </c>
      <c r="AD105" s="60"/>
      <c r="AE105" s="35"/>
      <c r="AF105" s="36"/>
      <c r="AG105" s="61"/>
      <c r="AH105" s="60"/>
      <c r="AI105" s="35"/>
      <c r="AJ105" s="36"/>
      <c r="AK105" s="61"/>
      <c r="AL105" s="60"/>
      <c r="AM105" s="35"/>
      <c r="AN105" s="36"/>
      <c r="AO105" s="61"/>
      <c r="AP105" s="60"/>
      <c r="AQ105" s="35"/>
      <c r="AR105" s="36"/>
      <c r="AS105" s="61"/>
      <c r="AT105" s="37">
        <f t="shared" si="5"/>
        <v>3000</v>
      </c>
      <c r="AU105" s="38">
        <f t="shared" si="6"/>
        <v>3000</v>
      </c>
    </row>
    <row r="106" spans="2:47" s="26" customFormat="1" ht="33.75" x14ac:dyDescent="0.25">
      <c r="B106" s="27">
        <v>91</v>
      </c>
      <c r="C106" s="27" t="s">
        <v>39</v>
      </c>
      <c r="D106" s="50">
        <f>+'[2]Planilla  2021'!$D97</f>
        <v>30484306</v>
      </c>
      <c r="E106" s="29" t="str">
        <f>+'[2]Planilla  2021'!$E97</f>
        <v>MEJORAMIENTO ESTANDAR URBANO AREAS VERDES BARRIO CARDENAL RAUL SILVA HENRIQUEZ, NATALES</v>
      </c>
      <c r="F106" s="51" t="str">
        <f>+'[2]Planilla  2021'!$G97</f>
        <v>Ejecución</v>
      </c>
      <c r="G106" s="30" t="s">
        <v>2291</v>
      </c>
      <c r="H106" s="30" t="str">
        <f>+'[2]Planilla  2021'!$K97</f>
        <v>NATALES</v>
      </c>
      <c r="I106" s="95" t="s">
        <v>72</v>
      </c>
      <c r="J106" s="31">
        <f>+'[2]Planilla  2021'!$AW97</f>
        <v>1376127</v>
      </c>
      <c r="K106" s="31">
        <f>+'[2]Planilla  2021'!$AK97</f>
        <v>0</v>
      </c>
      <c r="L106" s="76">
        <f>+'[2]Planilla  2021'!$BJ97</f>
        <v>14673</v>
      </c>
      <c r="M106" s="80"/>
      <c r="N106" s="31"/>
      <c r="O106" s="81"/>
      <c r="P106" s="80"/>
      <c r="Q106" s="31"/>
      <c r="R106" s="81"/>
      <c r="S106" s="80"/>
      <c r="T106" s="31"/>
      <c r="U106" s="81"/>
      <c r="V106" s="80"/>
      <c r="W106" s="31"/>
      <c r="X106" s="81"/>
      <c r="Y106" s="31">
        <f t="shared" si="2"/>
        <v>0</v>
      </c>
      <c r="Z106" s="32">
        <v>3000</v>
      </c>
      <c r="AA106" s="33">
        <v>4</v>
      </c>
      <c r="AB106" s="34">
        <v>44224</v>
      </c>
      <c r="AC106" s="56">
        <v>44236</v>
      </c>
      <c r="AD106" s="60"/>
      <c r="AE106" s="35"/>
      <c r="AF106" s="36"/>
      <c r="AG106" s="61"/>
      <c r="AH106" s="60"/>
      <c r="AI106" s="35"/>
      <c r="AJ106" s="36"/>
      <c r="AK106" s="61"/>
      <c r="AL106" s="60"/>
      <c r="AM106" s="35"/>
      <c r="AN106" s="36"/>
      <c r="AO106" s="61"/>
      <c r="AP106" s="60"/>
      <c r="AQ106" s="35"/>
      <c r="AR106" s="36"/>
      <c r="AS106" s="61"/>
      <c r="AT106" s="37">
        <f t="shared" si="5"/>
        <v>3000</v>
      </c>
      <c r="AU106" s="38">
        <f t="shared" si="6"/>
        <v>3000</v>
      </c>
    </row>
    <row r="107" spans="2:47" s="26" customFormat="1" ht="33.75" x14ac:dyDescent="0.25">
      <c r="B107" s="27">
        <v>92</v>
      </c>
      <c r="C107" s="27" t="s">
        <v>39</v>
      </c>
      <c r="D107" s="50">
        <f>+'[2]Planilla  2021'!$D98</f>
        <v>30387773</v>
      </c>
      <c r="E107" s="29" t="str">
        <f>+'[2]Planilla  2021'!$E98</f>
        <v>CONSTRUCCION CENTRO DE GESTIÓN DE RESIDUOS SÓLIDOS, TIERRA DEL FUEGO.  (DISEÑO)</v>
      </c>
      <c r="F107" s="51" t="str">
        <f>+'[2]Planilla  2021'!$G98</f>
        <v>Diseño</v>
      </c>
      <c r="G107" s="30" t="s">
        <v>2291</v>
      </c>
      <c r="H107" s="30" t="str">
        <f>+'[2]Planilla  2021'!$K98</f>
        <v>PORVENIR</v>
      </c>
      <c r="I107" s="95" t="s">
        <v>57</v>
      </c>
      <c r="J107" s="31">
        <f>+'[2]Planilla  2021'!$AW98</f>
        <v>2350557</v>
      </c>
      <c r="K107" s="31">
        <f>+'[2]Planilla  2021'!$AK98</f>
        <v>1831507</v>
      </c>
      <c r="L107" s="76">
        <f>+'[2]Planilla  2021'!$BJ98</f>
        <v>128502</v>
      </c>
      <c r="M107" s="80"/>
      <c r="N107" s="31"/>
      <c r="O107" s="81"/>
      <c r="P107" s="80"/>
      <c r="Q107" s="31"/>
      <c r="R107" s="81"/>
      <c r="S107" s="80"/>
      <c r="T107" s="31"/>
      <c r="U107" s="81"/>
      <c r="V107" s="80"/>
      <c r="W107" s="31"/>
      <c r="X107" s="81"/>
      <c r="Y107" s="31">
        <f t="shared" si="2"/>
        <v>0</v>
      </c>
      <c r="Z107" s="32">
        <v>390548</v>
      </c>
      <c r="AA107" s="33">
        <v>4</v>
      </c>
      <c r="AB107" s="34">
        <v>44224</v>
      </c>
      <c r="AC107" s="56">
        <v>44236</v>
      </c>
      <c r="AD107" s="60"/>
      <c r="AE107" s="35"/>
      <c r="AF107" s="36"/>
      <c r="AG107" s="61"/>
      <c r="AH107" s="60"/>
      <c r="AI107" s="35"/>
      <c r="AJ107" s="36"/>
      <c r="AK107" s="61"/>
      <c r="AL107" s="60"/>
      <c r="AM107" s="35"/>
      <c r="AN107" s="36"/>
      <c r="AO107" s="61"/>
      <c r="AP107" s="60"/>
      <c r="AQ107" s="35"/>
      <c r="AR107" s="36"/>
      <c r="AS107" s="61"/>
      <c r="AT107" s="37">
        <f t="shared" si="5"/>
        <v>390548</v>
      </c>
      <c r="AU107" s="38">
        <f t="shared" si="6"/>
        <v>390548</v>
      </c>
    </row>
    <row r="108" spans="2:47" s="26" customFormat="1" ht="22.5" x14ac:dyDescent="0.25">
      <c r="B108" s="27">
        <v>93</v>
      </c>
      <c r="C108" s="27" t="s">
        <v>39</v>
      </c>
      <c r="D108" s="50">
        <f>+'[2]Planilla  2021'!$D99</f>
        <v>30386072</v>
      </c>
      <c r="E108" s="29" t="str">
        <f>+'[2]Planilla  2021'!$E99</f>
        <v>CONSTRUCCION CENTRO DE GESTIÓN RESIDUOS SÓLIDOS, MAGALLANES.  (DISEÑO)</v>
      </c>
      <c r="F108" s="51" t="str">
        <f>+'[2]Planilla  2021'!$G99</f>
        <v>Diseño</v>
      </c>
      <c r="G108" s="30" t="s">
        <v>2291</v>
      </c>
      <c r="H108" s="30" t="str">
        <f>+'[2]Planilla  2021'!$K99</f>
        <v>PUNTA ARENAS</v>
      </c>
      <c r="I108" s="95" t="s">
        <v>57</v>
      </c>
      <c r="J108" s="31">
        <f>+'[2]Planilla  2021'!$AW99</f>
        <v>765999</v>
      </c>
      <c r="K108" s="31">
        <f>+'[2]Planilla  2021'!$AK99</f>
        <v>193268</v>
      </c>
      <c r="L108" s="76">
        <f>+'[2]Planilla  2021'!$BJ99</f>
        <v>115000</v>
      </c>
      <c r="M108" s="80"/>
      <c r="N108" s="31"/>
      <c r="O108" s="81"/>
      <c r="P108" s="80"/>
      <c r="Q108" s="31"/>
      <c r="R108" s="81"/>
      <c r="S108" s="80"/>
      <c r="T108" s="31"/>
      <c r="U108" s="81"/>
      <c r="V108" s="80"/>
      <c r="W108" s="31"/>
      <c r="X108" s="81"/>
      <c r="Y108" s="31">
        <f t="shared" si="2"/>
        <v>0</v>
      </c>
      <c r="Z108" s="32">
        <v>457731</v>
      </c>
      <c r="AA108" s="33">
        <v>4</v>
      </c>
      <c r="AB108" s="34">
        <v>44224</v>
      </c>
      <c r="AC108" s="56">
        <v>44236</v>
      </c>
      <c r="AD108" s="60"/>
      <c r="AE108" s="35"/>
      <c r="AF108" s="36"/>
      <c r="AG108" s="61"/>
      <c r="AH108" s="60"/>
      <c r="AI108" s="35"/>
      <c r="AJ108" s="36"/>
      <c r="AK108" s="61"/>
      <c r="AL108" s="60"/>
      <c r="AM108" s="35"/>
      <c r="AN108" s="36"/>
      <c r="AO108" s="61"/>
      <c r="AP108" s="60"/>
      <c r="AQ108" s="35"/>
      <c r="AR108" s="36"/>
      <c r="AS108" s="61"/>
      <c r="AT108" s="37">
        <f t="shared" si="5"/>
        <v>457731</v>
      </c>
      <c r="AU108" s="38">
        <f t="shared" si="6"/>
        <v>457731</v>
      </c>
    </row>
    <row r="109" spans="2:47" s="26" customFormat="1" ht="33.75" x14ac:dyDescent="0.25">
      <c r="B109" s="27">
        <v>94</v>
      </c>
      <c r="C109" s="27" t="s">
        <v>39</v>
      </c>
      <c r="D109" s="50">
        <f>+'[2]Planilla  2021'!$D100</f>
        <v>30104545</v>
      </c>
      <c r="E109" s="29" t="str">
        <f>+'[2]Planilla  2021'!$E100</f>
        <v>RESTAURACION Y CONSERVACION INTERIOR PALACIO BRAUN MENENDEZ, P. ARENAS.  (DISEÑO)</v>
      </c>
      <c r="F109" s="51" t="str">
        <f>+'[2]Planilla  2021'!$G100</f>
        <v>Diseño</v>
      </c>
      <c r="G109" s="30" t="s">
        <v>2291</v>
      </c>
      <c r="H109" s="30" t="str">
        <f>+'[2]Planilla  2021'!$K100</f>
        <v>PUNTA ARENAS</v>
      </c>
      <c r="I109" s="95" t="s">
        <v>57</v>
      </c>
      <c r="J109" s="31">
        <f>+'[2]Planilla  2021'!$AW100</f>
        <v>132514</v>
      </c>
      <c r="K109" s="31">
        <f>+'[2]Planilla  2021'!$AK100</f>
        <v>73186</v>
      </c>
      <c r="L109" s="76">
        <f>+'[2]Planilla  2021'!$BJ100</f>
        <v>34364</v>
      </c>
      <c r="M109" s="80"/>
      <c r="N109" s="31"/>
      <c r="O109" s="81"/>
      <c r="P109" s="80"/>
      <c r="Q109" s="31"/>
      <c r="R109" s="81"/>
      <c r="S109" s="80"/>
      <c r="T109" s="31"/>
      <c r="U109" s="81"/>
      <c r="V109" s="80"/>
      <c r="W109" s="31"/>
      <c r="X109" s="81"/>
      <c r="Y109" s="31">
        <f t="shared" si="2"/>
        <v>0</v>
      </c>
      <c r="Z109" s="32">
        <v>24964</v>
      </c>
      <c r="AA109" s="33">
        <v>4</v>
      </c>
      <c r="AB109" s="34">
        <v>44224</v>
      </c>
      <c r="AC109" s="56">
        <v>44236</v>
      </c>
      <c r="AD109" s="60"/>
      <c r="AE109" s="35"/>
      <c r="AF109" s="36"/>
      <c r="AG109" s="61"/>
      <c r="AH109" s="60"/>
      <c r="AI109" s="35"/>
      <c r="AJ109" s="36"/>
      <c r="AK109" s="61"/>
      <c r="AL109" s="60"/>
      <c r="AM109" s="35"/>
      <c r="AN109" s="36"/>
      <c r="AO109" s="61"/>
      <c r="AP109" s="60"/>
      <c r="AQ109" s="35"/>
      <c r="AR109" s="36"/>
      <c r="AS109" s="61"/>
      <c r="AT109" s="37">
        <f t="shared" si="5"/>
        <v>24964</v>
      </c>
      <c r="AU109" s="38">
        <f t="shared" si="6"/>
        <v>24964</v>
      </c>
    </row>
    <row r="110" spans="2:47" s="26" customFormat="1" ht="22.5" x14ac:dyDescent="0.25">
      <c r="B110" s="27">
        <v>95</v>
      </c>
      <c r="C110" s="27" t="s">
        <v>39</v>
      </c>
      <c r="D110" s="50">
        <f>+'[2]Planilla  2021'!$D101</f>
        <v>30383922</v>
      </c>
      <c r="E110" s="29" t="str">
        <f>+'[2]Planilla  2021'!$E101</f>
        <v>CONSTRUCCIÓN PISCINA SEMIOLIMPICA TEMPERADA COMUNA PORVENIR. (DISEÑO)</v>
      </c>
      <c r="F110" s="51" t="str">
        <f>+'[2]Planilla  2021'!$G101</f>
        <v>Diseño</v>
      </c>
      <c r="G110" s="30" t="s">
        <v>2291</v>
      </c>
      <c r="H110" s="30" t="str">
        <f>+'[2]Planilla  2021'!$K101</f>
        <v>PORVENIR</v>
      </c>
      <c r="I110" s="95" t="s">
        <v>57</v>
      </c>
      <c r="J110" s="31">
        <f>+'[2]Planilla  2021'!$AW101</f>
        <v>148273</v>
      </c>
      <c r="K110" s="31">
        <f>+'[2]Planilla  2021'!$AK101</f>
        <v>134448</v>
      </c>
      <c r="L110" s="76">
        <f>+'[2]Planilla  2021'!$BJ101</f>
        <v>0</v>
      </c>
      <c r="M110" s="80"/>
      <c r="N110" s="31"/>
      <c r="O110" s="81"/>
      <c r="P110" s="80"/>
      <c r="Q110" s="31"/>
      <c r="R110" s="81"/>
      <c r="S110" s="80"/>
      <c r="T110" s="31"/>
      <c r="U110" s="81"/>
      <c r="V110" s="80"/>
      <c r="W110" s="31"/>
      <c r="X110" s="81"/>
      <c r="Y110" s="31">
        <f t="shared" si="2"/>
        <v>0</v>
      </c>
      <c r="Z110" s="32">
        <v>13825</v>
      </c>
      <c r="AA110" s="33">
        <v>4</v>
      </c>
      <c r="AB110" s="34">
        <v>44224</v>
      </c>
      <c r="AC110" s="56">
        <v>44236</v>
      </c>
      <c r="AD110" s="60"/>
      <c r="AE110" s="35"/>
      <c r="AF110" s="36"/>
      <c r="AG110" s="61"/>
      <c r="AH110" s="60"/>
      <c r="AI110" s="35"/>
      <c r="AJ110" s="36"/>
      <c r="AK110" s="61"/>
      <c r="AL110" s="60"/>
      <c r="AM110" s="35"/>
      <c r="AN110" s="36"/>
      <c r="AO110" s="61"/>
      <c r="AP110" s="60"/>
      <c r="AQ110" s="35"/>
      <c r="AR110" s="36"/>
      <c r="AS110" s="61"/>
      <c r="AT110" s="37">
        <f t="shared" si="5"/>
        <v>13825</v>
      </c>
      <c r="AU110" s="38">
        <f t="shared" si="6"/>
        <v>13825</v>
      </c>
    </row>
    <row r="111" spans="2:47" s="26" customFormat="1" ht="22.5" x14ac:dyDescent="0.25">
      <c r="B111" s="27">
        <v>96</v>
      </c>
      <c r="C111" s="27" t="s">
        <v>39</v>
      </c>
      <c r="D111" s="50">
        <f>+'[2]Planilla  2021'!$D102</f>
        <v>40009241</v>
      </c>
      <c r="E111" s="29" t="str">
        <f>+'[2]Planilla  2021'!$E102</f>
        <v>CONSTRUCCION SEDE JUNTA DE VECINOS Nº 5 TORRES DEL PAINE P ARENAS</v>
      </c>
      <c r="F111" s="51" t="str">
        <f>+'[2]Planilla  2021'!$G102</f>
        <v>Ejecución</v>
      </c>
      <c r="G111" s="30" t="s">
        <v>2291</v>
      </c>
      <c r="H111" s="30" t="str">
        <f>+'[2]Planilla  2021'!$K102</f>
        <v>PUNTA ARENAS</v>
      </c>
      <c r="I111" s="95" t="s">
        <v>72</v>
      </c>
      <c r="J111" s="31">
        <f>+'[2]Planilla  2021'!$AW102</f>
        <v>177637</v>
      </c>
      <c r="K111" s="31">
        <f>+'[2]Planilla  2021'!$AK102</f>
        <v>0</v>
      </c>
      <c r="L111" s="76">
        <f>+'[2]Planilla  2021'!$BJ102</f>
        <v>69559</v>
      </c>
      <c r="M111" s="80"/>
      <c r="N111" s="31"/>
      <c r="O111" s="81"/>
      <c r="P111" s="80"/>
      <c r="Q111" s="31"/>
      <c r="R111" s="81"/>
      <c r="S111" s="80"/>
      <c r="T111" s="31"/>
      <c r="U111" s="81"/>
      <c r="V111" s="80"/>
      <c r="W111" s="31"/>
      <c r="X111" s="81"/>
      <c r="Y111" s="31">
        <f t="shared" si="2"/>
        <v>0</v>
      </c>
      <c r="Z111" s="32">
        <v>4</v>
      </c>
      <c r="AA111" s="33">
        <v>6</v>
      </c>
      <c r="AB111" s="34">
        <v>44230</v>
      </c>
      <c r="AC111" s="56">
        <v>44242</v>
      </c>
      <c r="AD111" s="60"/>
      <c r="AE111" s="35"/>
      <c r="AF111" s="36"/>
      <c r="AG111" s="61"/>
      <c r="AH111" s="60"/>
      <c r="AI111" s="35"/>
      <c r="AJ111" s="36"/>
      <c r="AK111" s="61"/>
      <c r="AL111" s="60"/>
      <c r="AM111" s="35"/>
      <c r="AN111" s="36"/>
      <c r="AO111" s="61"/>
      <c r="AP111" s="60"/>
      <c r="AQ111" s="35"/>
      <c r="AR111" s="36"/>
      <c r="AS111" s="61"/>
      <c r="AT111" s="37">
        <f t="shared" si="5"/>
        <v>4</v>
      </c>
      <c r="AU111" s="38">
        <f t="shared" si="6"/>
        <v>4</v>
      </c>
    </row>
    <row r="112" spans="2:47" s="26" customFormat="1" ht="22.5" x14ac:dyDescent="0.25">
      <c r="B112" s="27">
        <v>97</v>
      </c>
      <c r="C112" s="27" t="s">
        <v>39</v>
      </c>
      <c r="D112" s="50">
        <f>+'[2]Planilla  2021'!$D103</f>
        <v>40026408</v>
      </c>
      <c r="E112" s="29" t="str">
        <f>+'[2]Planilla  2021'!$E103</f>
        <v>AMPLIACION CEMENTERIO MUNICIPAL PABELLON NICHOS 28 CUARTEL 9 SUR P ARENAS</v>
      </c>
      <c r="F112" s="51" t="str">
        <f>+'[2]Planilla  2021'!$G103</f>
        <v>Ejecución</v>
      </c>
      <c r="G112" s="30" t="s">
        <v>2291</v>
      </c>
      <c r="H112" s="30" t="str">
        <f>+'[2]Planilla  2021'!$K103</f>
        <v>PUNTA ARENAS</v>
      </c>
      <c r="I112" s="95" t="s">
        <v>72</v>
      </c>
      <c r="J112" s="31">
        <f>+'[2]Planilla  2021'!$AW103</f>
        <v>138696</v>
      </c>
      <c r="K112" s="31">
        <f>+'[2]Planilla  2021'!$AK103</f>
        <v>0</v>
      </c>
      <c r="L112" s="76">
        <f>+'[2]Planilla  2021'!$BJ103</f>
        <v>106544</v>
      </c>
      <c r="M112" s="80"/>
      <c r="N112" s="31"/>
      <c r="O112" s="81"/>
      <c r="P112" s="80"/>
      <c r="Q112" s="31"/>
      <c r="R112" s="81"/>
      <c r="S112" s="80"/>
      <c r="T112" s="31"/>
      <c r="U112" s="81"/>
      <c r="V112" s="80"/>
      <c r="W112" s="31"/>
      <c r="X112" s="81"/>
      <c r="Y112" s="31">
        <f t="shared" ref="Y112:Y122" si="7">SUM(M112:X112)</f>
        <v>0</v>
      </c>
      <c r="Z112" s="32">
        <v>3</v>
      </c>
      <c r="AA112" s="33">
        <v>6</v>
      </c>
      <c r="AB112" s="34">
        <v>44230</v>
      </c>
      <c r="AC112" s="56">
        <v>44242</v>
      </c>
      <c r="AD112" s="60"/>
      <c r="AE112" s="35"/>
      <c r="AF112" s="36"/>
      <c r="AG112" s="61"/>
      <c r="AH112" s="60"/>
      <c r="AI112" s="35"/>
      <c r="AJ112" s="36"/>
      <c r="AK112" s="61"/>
      <c r="AL112" s="60"/>
      <c r="AM112" s="35"/>
      <c r="AN112" s="36"/>
      <c r="AO112" s="61"/>
      <c r="AP112" s="60"/>
      <c r="AQ112" s="35"/>
      <c r="AR112" s="36"/>
      <c r="AS112" s="61"/>
      <c r="AT112" s="37">
        <f t="shared" si="5"/>
        <v>3</v>
      </c>
      <c r="AU112" s="38">
        <f t="shared" si="6"/>
        <v>3</v>
      </c>
    </row>
    <row r="113" spans="2:47" s="26" customFormat="1" ht="22.5" x14ac:dyDescent="0.25">
      <c r="B113" s="27">
        <v>98</v>
      </c>
      <c r="C113" s="27" t="s">
        <v>39</v>
      </c>
      <c r="D113" s="50">
        <f>+'[2]Planilla  2021'!$D104</f>
        <v>30220022</v>
      </c>
      <c r="E113" s="29" t="str">
        <f>+'[2]Planilla  2021'!$E104</f>
        <v>HABILITACION CONSTRUCCIÓN ARCHIVO Y BIBLIOTECA REGIONAL PUNTA ARENAS</v>
      </c>
      <c r="F113" s="51" t="str">
        <f>+'[2]Planilla  2021'!$G104</f>
        <v>Ejecución</v>
      </c>
      <c r="G113" s="30" t="s">
        <v>2291</v>
      </c>
      <c r="H113" s="30" t="str">
        <f>+'[2]Planilla  2021'!$K104</f>
        <v>PUNTA ARENAS</v>
      </c>
      <c r="I113" s="95" t="s">
        <v>57</v>
      </c>
      <c r="J113" s="31">
        <f>+'[2]Planilla  2021'!$AW104</f>
        <v>12648092</v>
      </c>
      <c r="K113" s="31">
        <f>+'[2]Planilla  2021'!$AK104</f>
        <v>0</v>
      </c>
      <c r="L113" s="76">
        <f>+'[2]Planilla  2021'!$BJ104</f>
        <v>4553166</v>
      </c>
      <c r="M113" s="80"/>
      <c r="N113" s="31"/>
      <c r="O113" s="81"/>
      <c r="P113" s="80"/>
      <c r="Q113" s="31"/>
      <c r="R113" s="81"/>
      <c r="S113" s="80"/>
      <c r="T113" s="31"/>
      <c r="U113" s="81"/>
      <c r="V113" s="80"/>
      <c r="W113" s="31"/>
      <c r="X113" s="81"/>
      <c r="Y113" s="31">
        <f t="shared" si="7"/>
        <v>0</v>
      </c>
      <c r="Z113" s="32">
        <v>4</v>
      </c>
      <c r="AA113" s="33">
        <v>6</v>
      </c>
      <c r="AB113" s="34">
        <v>44230</v>
      </c>
      <c r="AC113" s="56">
        <v>44242</v>
      </c>
      <c r="AD113" s="60"/>
      <c r="AE113" s="35"/>
      <c r="AF113" s="36"/>
      <c r="AG113" s="61"/>
      <c r="AH113" s="60"/>
      <c r="AI113" s="35"/>
      <c r="AJ113" s="36"/>
      <c r="AK113" s="61"/>
      <c r="AL113" s="60"/>
      <c r="AM113" s="35"/>
      <c r="AN113" s="36"/>
      <c r="AO113" s="61"/>
      <c r="AP113" s="60"/>
      <c r="AQ113" s="35"/>
      <c r="AR113" s="36"/>
      <c r="AS113" s="61"/>
      <c r="AT113" s="37">
        <f t="shared" si="5"/>
        <v>4</v>
      </c>
      <c r="AU113" s="38">
        <f t="shared" si="6"/>
        <v>4</v>
      </c>
    </row>
    <row r="114" spans="2:47" s="26" customFormat="1" ht="22.5" x14ac:dyDescent="0.25">
      <c r="B114" s="27">
        <v>99</v>
      </c>
      <c r="C114" s="27" t="s">
        <v>39</v>
      </c>
      <c r="D114" s="50">
        <f>+'[2]Planilla  2021'!$D105</f>
        <v>30463994</v>
      </c>
      <c r="E114" s="29" t="str">
        <f>+'[2]Planilla  2021'!$E105</f>
        <v>CONSTRUCCION MUROS DE CONT. BERNARDO DE VERA Y PINTADO P. ARENAS</v>
      </c>
      <c r="F114" s="51" t="str">
        <f>+'[2]Planilla  2021'!$G105</f>
        <v>Ejecución</v>
      </c>
      <c r="G114" s="30" t="s">
        <v>2291</v>
      </c>
      <c r="H114" s="30" t="str">
        <f>+'[2]Planilla  2021'!$K105</f>
        <v>PUNTA ARENAS</v>
      </c>
      <c r="I114" s="95" t="s">
        <v>57</v>
      </c>
      <c r="J114" s="31">
        <f>+'[2]Planilla  2021'!$AW105</f>
        <v>541700</v>
      </c>
      <c r="K114" s="31">
        <f>+'[2]Planilla  2021'!$AK105</f>
        <v>1663</v>
      </c>
      <c r="L114" s="76">
        <f>+'[2]Planilla  2021'!$BJ105</f>
        <v>0</v>
      </c>
      <c r="M114" s="80"/>
      <c r="N114" s="31"/>
      <c r="O114" s="81"/>
      <c r="P114" s="80"/>
      <c r="Q114" s="31"/>
      <c r="R114" s="81"/>
      <c r="S114" s="80"/>
      <c r="T114" s="31"/>
      <c r="U114" s="81"/>
      <c r="V114" s="80"/>
      <c r="W114" s="31"/>
      <c r="X114" s="81"/>
      <c r="Y114" s="31">
        <f t="shared" si="7"/>
        <v>0</v>
      </c>
      <c r="Z114" s="32">
        <v>540037</v>
      </c>
      <c r="AA114" s="33">
        <v>6</v>
      </c>
      <c r="AB114" s="34">
        <v>44230</v>
      </c>
      <c r="AC114" s="56">
        <v>44242</v>
      </c>
      <c r="AD114" s="60"/>
      <c r="AE114" s="35"/>
      <c r="AF114" s="36"/>
      <c r="AG114" s="61"/>
      <c r="AH114" s="60"/>
      <c r="AI114" s="35"/>
      <c r="AJ114" s="36"/>
      <c r="AK114" s="61"/>
      <c r="AL114" s="60"/>
      <c r="AM114" s="35"/>
      <c r="AN114" s="36"/>
      <c r="AO114" s="61"/>
      <c r="AP114" s="60"/>
      <c r="AQ114" s="35"/>
      <c r="AR114" s="36"/>
      <c r="AS114" s="61"/>
      <c r="AT114" s="37">
        <f t="shared" si="5"/>
        <v>540037</v>
      </c>
      <c r="AU114" s="38">
        <f t="shared" si="6"/>
        <v>540037</v>
      </c>
    </row>
    <row r="115" spans="2:47" s="26" customFormat="1" ht="33.75" x14ac:dyDescent="0.25">
      <c r="B115" s="27">
        <v>100</v>
      </c>
      <c r="C115" s="27" t="s">
        <v>39</v>
      </c>
      <c r="D115" s="50">
        <f>+'[2]Planilla  2021'!$D106</f>
        <v>40024775</v>
      </c>
      <c r="E115" s="29" t="str">
        <f>+'[2]Planilla  2021'!$E106</f>
        <v>CONSTRUCCION SISTEMA DE RECOLECCION DE AGUAS SERVIDAS SECTOR SUR , PUNTA ARENAS</v>
      </c>
      <c r="F115" s="51" t="str">
        <f>+'[2]Planilla  2021'!$G106</f>
        <v>Diseño</v>
      </c>
      <c r="G115" s="30" t="s">
        <v>2291</v>
      </c>
      <c r="H115" s="30" t="str">
        <f>+'[2]Planilla  2021'!$K106</f>
        <v>PUNTA ARENAS</v>
      </c>
      <c r="I115" s="95" t="s">
        <v>57</v>
      </c>
      <c r="J115" s="31">
        <f>+'[2]Planilla  2021'!$AW106</f>
        <v>369969</v>
      </c>
      <c r="K115" s="31">
        <f>+'[2]Planilla  2021'!$AK106</f>
        <v>0</v>
      </c>
      <c r="L115" s="76">
        <f>+'[2]Planilla  2021'!$BJ106</f>
        <v>189480</v>
      </c>
      <c r="M115" s="80"/>
      <c r="N115" s="31"/>
      <c r="O115" s="81"/>
      <c r="P115" s="80"/>
      <c r="Q115" s="31"/>
      <c r="R115" s="81"/>
      <c r="S115" s="80"/>
      <c r="T115" s="31"/>
      <c r="U115" s="81"/>
      <c r="V115" s="80"/>
      <c r="W115" s="31"/>
      <c r="X115" s="81"/>
      <c r="Y115" s="31">
        <f t="shared" si="7"/>
        <v>0</v>
      </c>
      <c r="Z115" s="32">
        <v>180489</v>
      </c>
      <c r="AA115" s="33">
        <v>9</v>
      </c>
      <c r="AB115" s="34">
        <v>44244</v>
      </c>
      <c r="AC115" s="56">
        <v>44249</v>
      </c>
      <c r="AD115" s="60"/>
      <c r="AE115" s="35"/>
      <c r="AF115" s="36"/>
      <c r="AG115" s="61"/>
      <c r="AH115" s="60"/>
      <c r="AI115" s="35"/>
      <c r="AJ115" s="36"/>
      <c r="AK115" s="61"/>
      <c r="AL115" s="60"/>
      <c r="AM115" s="35"/>
      <c r="AN115" s="36"/>
      <c r="AO115" s="61"/>
      <c r="AP115" s="60"/>
      <c r="AQ115" s="35"/>
      <c r="AR115" s="36"/>
      <c r="AS115" s="61"/>
      <c r="AT115" s="37">
        <f t="shared" si="5"/>
        <v>180489</v>
      </c>
      <c r="AU115" s="38">
        <f t="shared" si="6"/>
        <v>180489</v>
      </c>
    </row>
    <row r="116" spans="2:47" s="26" customFormat="1" x14ac:dyDescent="0.25">
      <c r="B116" s="27">
        <v>101</v>
      </c>
      <c r="C116" s="27" t="s">
        <v>39</v>
      </c>
      <c r="D116" s="50">
        <f>+'[2]Planilla  2021'!$D107</f>
        <v>30472846</v>
      </c>
      <c r="E116" s="29" t="str">
        <f>+'[2]Planilla  2021'!$E107</f>
        <v>CONSTRUCCION PARQUE EOLICO CABO NEGRO</v>
      </c>
      <c r="F116" s="51" t="str">
        <f>+'[2]Planilla  2021'!$G107</f>
        <v>Ejecución</v>
      </c>
      <c r="G116" s="30" t="s">
        <v>2291</v>
      </c>
      <c r="H116" s="30" t="str">
        <f>+'[2]Planilla  2021'!$K107</f>
        <v>INTERCOMUNAL</v>
      </c>
      <c r="I116" s="95" t="s">
        <v>57</v>
      </c>
      <c r="J116" s="31">
        <f>+'[2]Planilla  2021'!$AW107</f>
        <v>3478450</v>
      </c>
      <c r="K116" s="31">
        <f>+'[2]Planilla  2021'!$AK107</f>
        <v>3710441</v>
      </c>
      <c r="L116" s="76">
        <f>+'[2]Planilla  2021'!$BJ107</f>
        <v>0</v>
      </c>
      <c r="M116" s="80"/>
      <c r="N116" s="31"/>
      <c r="O116" s="81">
        <v>166358</v>
      </c>
      <c r="P116" s="80"/>
      <c r="Q116" s="31"/>
      <c r="R116" s="81"/>
      <c r="S116" s="80"/>
      <c r="T116" s="31"/>
      <c r="U116" s="81"/>
      <c r="V116" s="80"/>
      <c r="W116" s="31"/>
      <c r="X116" s="81"/>
      <c r="Y116" s="31">
        <f t="shared" si="7"/>
        <v>166358</v>
      </c>
      <c r="Z116" s="32">
        <v>167000</v>
      </c>
      <c r="AA116" s="33">
        <v>9</v>
      </c>
      <c r="AB116" s="34">
        <v>44244</v>
      </c>
      <c r="AC116" s="56">
        <v>44249</v>
      </c>
      <c r="AD116" s="60"/>
      <c r="AE116" s="35"/>
      <c r="AF116" s="36"/>
      <c r="AG116" s="61"/>
      <c r="AH116" s="60"/>
      <c r="AI116" s="35"/>
      <c r="AJ116" s="36"/>
      <c r="AK116" s="61"/>
      <c r="AL116" s="60"/>
      <c r="AM116" s="35"/>
      <c r="AN116" s="36"/>
      <c r="AO116" s="61"/>
      <c r="AP116" s="60"/>
      <c r="AQ116" s="35"/>
      <c r="AR116" s="36"/>
      <c r="AS116" s="61"/>
      <c r="AT116" s="37">
        <f t="shared" si="5"/>
        <v>167000</v>
      </c>
      <c r="AU116" s="38">
        <f t="shared" si="6"/>
        <v>642</v>
      </c>
    </row>
    <row r="117" spans="2:47" s="26" customFormat="1" ht="22.5" x14ac:dyDescent="0.25">
      <c r="B117" s="27">
        <v>102</v>
      </c>
      <c r="C117" s="27" t="s">
        <v>39</v>
      </c>
      <c r="D117" s="50">
        <f>+'[2]Planilla  2021'!$D108</f>
        <v>30415423</v>
      </c>
      <c r="E117" s="29" t="str">
        <f>+'[2]Planilla  2021'!$E108</f>
        <v>CONSTRUCCION CAMINO RIO HOLLEMBERG - RIO PEREZ, ETAPA II, RÍO VERDE,XII REGIÓN</v>
      </c>
      <c r="F117" s="51" t="str">
        <f>+'[2]Planilla  2021'!$G108</f>
        <v>Ejecución</v>
      </c>
      <c r="G117" s="30" t="s">
        <v>2291</v>
      </c>
      <c r="H117" s="30" t="str">
        <f>+'[2]Planilla  2021'!$K108</f>
        <v>RÍO VERDE</v>
      </c>
      <c r="I117" s="95" t="s">
        <v>57</v>
      </c>
      <c r="J117" s="31">
        <f>+'[2]Planilla  2021'!$AW108</f>
        <v>22880685</v>
      </c>
      <c r="K117" s="31">
        <f>+'[2]Planilla  2021'!$AK108</f>
        <v>191113</v>
      </c>
      <c r="L117" s="76">
        <f>+'[2]Planilla  2021'!$BJ108</f>
        <v>1106863</v>
      </c>
      <c r="M117" s="80"/>
      <c r="N117" s="31"/>
      <c r="O117" s="81">
        <v>375072</v>
      </c>
      <c r="P117" s="80"/>
      <c r="Q117" s="31"/>
      <c r="R117" s="81"/>
      <c r="S117" s="80"/>
      <c r="T117" s="31"/>
      <c r="U117" s="81"/>
      <c r="V117" s="80"/>
      <c r="W117" s="31"/>
      <c r="X117" s="81"/>
      <c r="Y117" s="31">
        <f t="shared" si="7"/>
        <v>375072</v>
      </c>
      <c r="Z117" s="32">
        <f>381000</f>
        <v>381000</v>
      </c>
      <c r="AA117" s="33">
        <v>9</v>
      </c>
      <c r="AB117" s="34"/>
      <c r="AC117" s="56"/>
      <c r="AD117" s="60"/>
      <c r="AE117" s="35"/>
      <c r="AF117" s="36"/>
      <c r="AG117" s="61"/>
      <c r="AH117" s="60"/>
      <c r="AI117" s="35"/>
      <c r="AJ117" s="36"/>
      <c r="AK117" s="61"/>
      <c r="AL117" s="60">
        <v>535000</v>
      </c>
      <c r="AM117" s="35">
        <v>13</v>
      </c>
      <c r="AN117" s="61">
        <v>44281</v>
      </c>
      <c r="AO117" s="61">
        <v>44281</v>
      </c>
      <c r="AP117" s="60"/>
      <c r="AQ117" s="35"/>
      <c r="AR117" s="36"/>
      <c r="AS117" s="61"/>
      <c r="AT117" s="37">
        <f t="shared" si="5"/>
        <v>916000</v>
      </c>
      <c r="AU117" s="38">
        <f t="shared" si="6"/>
        <v>540928</v>
      </c>
    </row>
    <row r="118" spans="2:47" s="26" customFormat="1" ht="22.5" x14ac:dyDescent="0.25">
      <c r="B118" s="27">
        <v>103</v>
      </c>
      <c r="C118" s="27" t="s">
        <v>39</v>
      </c>
      <c r="D118" s="50">
        <f>+'[2]Planilla  2021'!$D109</f>
        <v>30469888</v>
      </c>
      <c r="E118" s="29" t="str">
        <f>+'[2]Planilla  2021'!$E109</f>
        <v>MEJORAMIENTO Y REPOSICIÓN ESC. BERNARDO OHIGGINS, PORVENIR DISEÑO</v>
      </c>
      <c r="F118" s="51" t="str">
        <f>+'[2]Planilla  2021'!$G109</f>
        <v>Diseño</v>
      </c>
      <c r="G118" s="30" t="s">
        <v>2291</v>
      </c>
      <c r="H118" s="30" t="str">
        <f>+'[2]Planilla  2021'!$K109</f>
        <v>PORVENIR</v>
      </c>
      <c r="I118" s="95" t="s">
        <v>72</v>
      </c>
      <c r="J118" s="31">
        <f>+'[2]Planilla  2021'!$AW109</f>
        <v>349978</v>
      </c>
      <c r="K118" s="31">
        <f>+'[2]Planilla  2021'!$AK109</f>
        <v>0</v>
      </c>
      <c r="L118" s="76">
        <f>+'[2]Planilla  2021'!$BJ109</f>
        <v>276833</v>
      </c>
      <c r="M118" s="80"/>
      <c r="N118" s="31"/>
      <c r="O118" s="81"/>
      <c r="P118" s="80"/>
      <c r="Q118" s="31"/>
      <c r="R118" s="81"/>
      <c r="S118" s="80"/>
      <c r="T118" s="31"/>
      <c r="U118" s="81"/>
      <c r="V118" s="80"/>
      <c r="W118" s="31"/>
      <c r="X118" s="81"/>
      <c r="Y118" s="31">
        <f t="shared" si="7"/>
        <v>0</v>
      </c>
      <c r="Z118" s="32">
        <v>1</v>
      </c>
      <c r="AA118" s="33">
        <v>13</v>
      </c>
      <c r="AB118" s="34">
        <v>44277</v>
      </c>
      <c r="AC118" s="56">
        <v>44281</v>
      </c>
      <c r="AD118" s="60"/>
      <c r="AE118" s="35"/>
      <c r="AF118" s="36"/>
      <c r="AG118" s="61"/>
      <c r="AH118" s="60"/>
      <c r="AI118" s="35"/>
      <c r="AJ118" s="36"/>
      <c r="AK118" s="61"/>
      <c r="AL118" s="60"/>
      <c r="AM118" s="35"/>
      <c r="AN118" s="36"/>
      <c r="AO118" s="61"/>
      <c r="AP118" s="60"/>
      <c r="AQ118" s="35"/>
      <c r="AR118" s="36"/>
      <c r="AS118" s="61"/>
      <c r="AT118" s="37">
        <f t="shared" si="5"/>
        <v>1</v>
      </c>
      <c r="AU118" s="38">
        <f t="shared" si="6"/>
        <v>1</v>
      </c>
    </row>
    <row r="119" spans="2:47" s="26" customFormat="1" ht="22.5" x14ac:dyDescent="0.25">
      <c r="B119" s="27">
        <v>104</v>
      </c>
      <c r="C119" s="27" t="s">
        <v>39</v>
      </c>
      <c r="D119" s="50">
        <f>+'[2]Planilla  2021'!$D110</f>
        <v>40008005</v>
      </c>
      <c r="E119" s="29" t="str">
        <f>+'[2]Planilla  2021'!$E110</f>
        <v>REPOSICION SEDE VECINAL Nº 12 MANUEL CHAPARRO PUNTA ARENAS DISEÑO</v>
      </c>
      <c r="F119" s="51" t="str">
        <f>+'[2]Planilla  2021'!$G110</f>
        <v>Diseño</v>
      </c>
      <c r="G119" s="30" t="s">
        <v>2291</v>
      </c>
      <c r="H119" s="30" t="str">
        <f>+'[2]Planilla  2021'!$K110</f>
        <v>PUNTA ARENAS</v>
      </c>
      <c r="I119" s="95" t="s">
        <v>72</v>
      </c>
      <c r="J119" s="31">
        <f>+'[2]Planilla  2021'!$AW110</f>
        <v>56463</v>
      </c>
      <c r="K119" s="31">
        <f>+'[2]Planilla  2021'!$AK110</f>
        <v>0</v>
      </c>
      <c r="L119" s="76">
        <f>+'[2]Planilla  2021'!$BJ110</f>
        <v>34479</v>
      </c>
      <c r="M119" s="80"/>
      <c r="N119" s="31"/>
      <c r="O119" s="81"/>
      <c r="P119" s="80"/>
      <c r="Q119" s="31"/>
      <c r="R119" s="81"/>
      <c r="S119" s="80"/>
      <c r="T119" s="31"/>
      <c r="U119" s="81"/>
      <c r="V119" s="80"/>
      <c r="W119" s="31"/>
      <c r="X119" s="81"/>
      <c r="Y119" s="31">
        <f t="shared" si="7"/>
        <v>0</v>
      </c>
      <c r="Z119" s="32">
        <v>2</v>
      </c>
      <c r="AA119" s="33">
        <v>13</v>
      </c>
      <c r="AB119" s="34">
        <v>44277</v>
      </c>
      <c r="AC119" s="56">
        <v>44281</v>
      </c>
      <c r="AD119" s="60"/>
      <c r="AE119" s="35"/>
      <c r="AF119" s="36"/>
      <c r="AG119" s="61"/>
      <c r="AH119" s="60"/>
      <c r="AI119" s="35"/>
      <c r="AJ119" s="36"/>
      <c r="AK119" s="61"/>
      <c r="AL119" s="60"/>
      <c r="AM119" s="35"/>
      <c r="AN119" s="36"/>
      <c r="AO119" s="61"/>
      <c r="AP119" s="60"/>
      <c r="AQ119" s="35"/>
      <c r="AR119" s="36"/>
      <c r="AS119" s="61"/>
      <c r="AT119" s="37">
        <f t="shared" si="5"/>
        <v>2</v>
      </c>
      <c r="AU119" s="38">
        <f t="shared" si="6"/>
        <v>2</v>
      </c>
    </row>
    <row r="120" spans="2:47" s="26" customFormat="1" ht="33.75" x14ac:dyDescent="0.25">
      <c r="B120" s="27">
        <v>105</v>
      </c>
      <c r="C120" s="27" t="s">
        <v>39</v>
      </c>
      <c r="D120" s="50">
        <f>+'[2]Planilla  2021'!$D111</f>
        <v>40019951</v>
      </c>
      <c r="E120" s="29" t="str">
        <f>+'[2]Planilla  2021'!$E111</f>
        <v>HABILITACION SERVICIOS PÚBLICOS PROVINCIALES EN EX HOSPITAL, PUERTO NATALES</v>
      </c>
      <c r="F120" s="51" t="str">
        <f>+'[2]Planilla  2021'!$G111</f>
        <v>Diseño</v>
      </c>
      <c r="G120" s="30" t="s">
        <v>2291</v>
      </c>
      <c r="H120" s="30" t="str">
        <f>+'[2]Planilla  2021'!$K111</f>
        <v>NATALES</v>
      </c>
      <c r="I120" s="95" t="s">
        <v>72</v>
      </c>
      <c r="J120" s="31">
        <f>+'[2]Planilla  2021'!$AW111</f>
        <v>159464</v>
      </c>
      <c r="K120" s="31">
        <f>+'[2]Planilla  2021'!$AK111</f>
        <v>0</v>
      </c>
      <c r="L120" s="76">
        <f>+'[2]Planilla  2021'!$BJ111</f>
        <v>88590</v>
      </c>
      <c r="M120" s="80"/>
      <c r="N120" s="31"/>
      <c r="O120" s="81"/>
      <c r="P120" s="80"/>
      <c r="Q120" s="31"/>
      <c r="R120" s="81"/>
      <c r="S120" s="80"/>
      <c r="T120" s="31"/>
      <c r="U120" s="81"/>
      <c r="V120" s="80"/>
      <c r="W120" s="31"/>
      <c r="X120" s="81"/>
      <c r="Y120" s="31">
        <f t="shared" si="7"/>
        <v>0</v>
      </c>
      <c r="Z120" s="32">
        <v>2</v>
      </c>
      <c r="AA120" s="33">
        <v>13</v>
      </c>
      <c r="AB120" s="34">
        <v>44277</v>
      </c>
      <c r="AC120" s="56">
        <v>44281</v>
      </c>
      <c r="AD120" s="60"/>
      <c r="AE120" s="35"/>
      <c r="AF120" s="36"/>
      <c r="AG120" s="61"/>
      <c r="AH120" s="60"/>
      <c r="AI120" s="35"/>
      <c r="AJ120" s="36"/>
      <c r="AK120" s="61"/>
      <c r="AL120" s="60"/>
      <c r="AM120" s="35"/>
      <c r="AN120" s="36"/>
      <c r="AO120" s="61"/>
      <c r="AP120" s="60"/>
      <c r="AQ120" s="35"/>
      <c r="AR120" s="36"/>
      <c r="AS120" s="61"/>
      <c r="AT120" s="37">
        <f t="shared" si="5"/>
        <v>2</v>
      </c>
      <c r="AU120" s="38">
        <f t="shared" si="6"/>
        <v>2</v>
      </c>
    </row>
    <row r="121" spans="2:47" s="26" customFormat="1" ht="22.5" x14ac:dyDescent="0.25">
      <c r="B121" s="27">
        <v>106</v>
      </c>
      <c r="C121" s="27" t="s">
        <v>39</v>
      </c>
      <c r="D121" s="50">
        <f>+'[2]Planilla  2021'!$D112</f>
        <v>30344972</v>
      </c>
      <c r="E121" s="29" t="str">
        <f>+'[2]Planilla  2021'!$E112</f>
        <v>CONSTRUCCION LOTEOS HABITACIONALES FSEV 2014, PUNTA ARENAS.  (DISEÑO)</v>
      </c>
      <c r="F121" s="51" t="str">
        <f>+'[2]Planilla  2021'!$G112</f>
        <v>Diseño</v>
      </c>
      <c r="G121" s="30" t="s">
        <v>2291</v>
      </c>
      <c r="H121" s="30" t="str">
        <f>+'[2]Planilla  2021'!$K112</f>
        <v>PUNTA ARENAS</v>
      </c>
      <c r="I121" s="95" t="s">
        <v>57</v>
      </c>
      <c r="J121" s="31">
        <f>+'[2]Planilla  2021'!$AW112</f>
        <v>281514</v>
      </c>
      <c r="K121" s="31">
        <f>+'[2]Planilla  2021'!$AK112</f>
        <v>151129</v>
      </c>
      <c r="L121" s="76">
        <f>+'[2]Planilla  2021'!$BJ112</f>
        <v>521</v>
      </c>
      <c r="M121" s="80"/>
      <c r="N121" s="31"/>
      <c r="O121" s="81"/>
      <c r="P121" s="80"/>
      <c r="Q121" s="31"/>
      <c r="R121" s="81"/>
      <c r="S121" s="80"/>
      <c r="T121" s="31"/>
      <c r="U121" s="81"/>
      <c r="V121" s="80"/>
      <c r="W121" s="31"/>
      <c r="X121" s="81"/>
      <c r="Y121" s="31">
        <f t="shared" si="7"/>
        <v>0</v>
      </c>
      <c r="Z121" s="32">
        <v>7300</v>
      </c>
      <c r="AA121" s="33">
        <v>13</v>
      </c>
      <c r="AB121" s="34">
        <v>44277</v>
      </c>
      <c r="AC121" s="56">
        <v>44281</v>
      </c>
      <c r="AD121" s="60"/>
      <c r="AE121" s="35"/>
      <c r="AF121" s="36"/>
      <c r="AG121" s="61"/>
      <c r="AH121" s="60"/>
      <c r="AI121" s="35"/>
      <c r="AJ121" s="36"/>
      <c r="AK121" s="61"/>
      <c r="AL121" s="60"/>
      <c r="AM121" s="35"/>
      <c r="AN121" s="36"/>
      <c r="AO121" s="61"/>
      <c r="AP121" s="60"/>
      <c r="AQ121" s="35"/>
      <c r="AR121" s="36"/>
      <c r="AS121" s="61"/>
      <c r="AT121" s="37">
        <f t="shared" si="5"/>
        <v>7300</v>
      </c>
      <c r="AU121" s="38">
        <f t="shared" si="6"/>
        <v>7300</v>
      </c>
    </row>
    <row r="122" spans="2:47" s="26" customFormat="1" ht="22.5" x14ac:dyDescent="0.25">
      <c r="B122" s="27">
        <v>107</v>
      </c>
      <c r="C122" s="27" t="s">
        <v>43</v>
      </c>
      <c r="D122" s="50">
        <f>+'[2]Planilla  2021'!$D113</f>
        <v>40008099</v>
      </c>
      <c r="E122" s="29" t="str">
        <f>+'[2]Planilla  2021'!$E113</f>
        <v>CONTROL DE MASCOTAS, FOMENTO TENENCIA RESPONSABLE EN LA COMUNA DE PORVENIR</v>
      </c>
      <c r="F122" s="51" t="str">
        <f>+'[2]Planilla  2021'!$G113</f>
        <v>Ejecución</v>
      </c>
      <c r="G122" s="30" t="s">
        <v>2291</v>
      </c>
      <c r="H122" s="30" t="str">
        <f>+'[2]Planilla  2021'!$K113</f>
        <v>PORVENIR</v>
      </c>
      <c r="I122" s="95" t="s">
        <v>57</v>
      </c>
      <c r="J122" s="31">
        <f>+'[2]Planilla  2021'!$AW113</f>
        <v>123789</v>
      </c>
      <c r="K122" s="31">
        <f>+'[2]Planilla  2021'!$AK113</f>
        <v>23298</v>
      </c>
      <c r="L122" s="76">
        <f>+'[2]Planilla  2021'!$BJ113</f>
        <v>37387</v>
      </c>
      <c r="M122" s="80"/>
      <c r="N122" s="31"/>
      <c r="O122" s="81">
        <v>2390</v>
      </c>
      <c r="P122" s="80"/>
      <c r="Q122" s="31"/>
      <c r="R122" s="81"/>
      <c r="S122" s="80"/>
      <c r="T122" s="31"/>
      <c r="U122" s="81"/>
      <c r="V122" s="80"/>
      <c r="W122" s="31"/>
      <c r="X122" s="81"/>
      <c r="Y122" s="31">
        <f t="shared" si="7"/>
        <v>2390</v>
      </c>
      <c r="Z122" s="32">
        <v>40000</v>
      </c>
      <c r="AA122" s="33">
        <v>13</v>
      </c>
      <c r="AB122" s="34">
        <v>44277</v>
      </c>
      <c r="AC122" s="56">
        <v>44281</v>
      </c>
      <c r="AD122" s="60"/>
      <c r="AE122" s="35"/>
      <c r="AF122" s="36"/>
      <c r="AG122" s="61"/>
      <c r="AH122" s="60"/>
      <c r="AI122" s="35"/>
      <c r="AJ122" s="36"/>
      <c r="AK122" s="61"/>
      <c r="AL122" s="60"/>
      <c r="AM122" s="35"/>
      <c r="AN122" s="36"/>
      <c r="AO122" s="61"/>
      <c r="AP122" s="60"/>
      <c r="AQ122" s="35"/>
      <c r="AR122" s="36"/>
      <c r="AS122" s="61"/>
      <c r="AT122" s="37">
        <f t="shared" si="5"/>
        <v>40000</v>
      </c>
      <c r="AU122" s="38">
        <f t="shared" si="6"/>
        <v>37610</v>
      </c>
    </row>
    <row r="123" spans="2:47" s="26" customFormat="1" x14ac:dyDescent="0.25">
      <c r="B123" s="27"/>
      <c r="C123" s="27"/>
      <c r="D123" s="50"/>
      <c r="E123" s="29"/>
      <c r="F123" s="51"/>
      <c r="G123" s="30"/>
      <c r="H123" s="42"/>
      <c r="I123" s="51"/>
      <c r="J123" s="31"/>
      <c r="K123" s="31"/>
      <c r="L123" s="76"/>
      <c r="M123" s="80"/>
      <c r="N123" s="31"/>
      <c r="O123" s="81"/>
      <c r="P123" s="80"/>
      <c r="Q123" s="31"/>
      <c r="R123" s="81"/>
      <c r="S123" s="80"/>
      <c r="T123" s="31"/>
      <c r="U123" s="81"/>
      <c r="V123" s="80"/>
      <c r="W123" s="31"/>
      <c r="X123" s="81"/>
      <c r="Y123" s="31"/>
      <c r="Z123" s="32"/>
      <c r="AA123" s="33"/>
      <c r="AB123" s="36"/>
      <c r="AC123" s="54"/>
      <c r="AD123" s="60"/>
      <c r="AE123" s="35"/>
      <c r="AF123" s="36"/>
      <c r="AG123" s="61"/>
      <c r="AH123" s="60"/>
      <c r="AI123" s="35"/>
      <c r="AJ123" s="36"/>
      <c r="AK123" s="61"/>
      <c r="AL123" s="60"/>
      <c r="AM123" s="35"/>
      <c r="AN123" s="36"/>
      <c r="AO123" s="61"/>
      <c r="AP123" s="60"/>
      <c r="AQ123" s="35"/>
      <c r="AR123" s="36"/>
      <c r="AS123" s="61"/>
      <c r="AT123" s="37"/>
      <c r="AU123" s="38"/>
    </row>
    <row r="124" spans="2:47" s="26" customFormat="1" x14ac:dyDescent="0.25">
      <c r="B124" s="27"/>
      <c r="C124" s="27"/>
      <c r="D124" s="28"/>
      <c r="E124" s="29"/>
      <c r="F124" s="29"/>
      <c r="G124" s="30"/>
      <c r="H124" s="42"/>
      <c r="I124" s="43"/>
      <c r="J124" s="43"/>
      <c r="K124" s="31"/>
      <c r="L124" s="76"/>
      <c r="M124" s="80"/>
      <c r="N124" s="31"/>
      <c r="O124" s="81"/>
      <c r="P124" s="80"/>
      <c r="Q124" s="31"/>
      <c r="R124" s="81"/>
      <c r="S124" s="80"/>
      <c r="T124" s="31"/>
      <c r="U124" s="81"/>
      <c r="V124" s="80"/>
      <c r="W124" s="31"/>
      <c r="X124" s="81"/>
      <c r="Y124" s="31">
        <f t="shared" ref="Y124" si="8">SUM(M124:X124)</f>
        <v>0</v>
      </c>
      <c r="Z124" s="32"/>
      <c r="AA124" s="33"/>
      <c r="AB124" s="36"/>
      <c r="AC124" s="54"/>
      <c r="AD124" s="60"/>
      <c r="AE124" s="35"/>
      <c r="AF124" s="36"/>
      <c r="AG124" s="61"/>
      <c r="AH124" s="60"/>
      <c r="AI124" s="35"/>
      <c r="AJ124" s="36"/>
      <c r="AK124" s="61"/>
      <c r="AL124" s="60"/>
      <c r="AM124" s="35"/>
      <c r="AN124" s="36"/>
      <c r="AO124" s="61"/>
      <c r="AP124" s="60"/>
      <c r="AQ124" s="35"/>
      <c r="AR124" s="36"/>
      <c r="AS124" s="61"/>
      <c r="AT124" s="37">
        <f t="shared" si="0"/>
        <v>0</v>
      </c>
      <c r="AU124" s="38">
        <f t="shared" si="1"/>
        <v>0</v>
      </c>
    </row>
    <row r="125" spans="2:47" ht="15" customHeight="1" thickBot="1" x14ac:dyDescent="0.3">
      <c r="B125" s="534" t="s">
        <v>40</v>
      </c>
      <c r="C125" s="535"/>
      <c r="D125" s="535"/>
      <c r="E125" s="535"/>
      <c r="F125" s="535"/>
      <c r="G125" s="535"/>
      <c r="H125" s="535"/>
      <c r="I125" s="536"/>
      <c r="J125" s="48">
        <f>SUM(J16:J122)</f>
        <v>428454640</v>
      </c>
      <c r="K125" s="48">
        <f t="shared" ref="K125:Z125" si="9">SUM(K16:K122)</f>
        <v>131514349</v>
      </c>
      <c r="L125" s="57">
        <f t="shared" si="9"/>
        <v>65784682</v>
      </c>
      <c r="M125" s="64">
        <f t="shared" si="9"/>
        <v>2419292</v>
      </c>
      <c r="N125" s="65">
        <f t="shared" si="9"/>
        <v>2840995</v>
      </c>
      <c r="O125" s="66">
        <f t="shared" si="9"/>
        <v>4159892</v>
      </c>
      <c r="P125" s="64">
        <f t="shared" si="9"/>
        <v>0</v>
      </c>
      <c r="Q125" s="65">
        <f t="shared" si="9"/>
        <v>0</v>
      </c>
      <c r="R125" s="66">
        <f t="shared" si="9"/>
        <v>0</v>
      </c>
      <c r="S125" s="64">
        <f t="shared" si="9"/>
        <v>0</v>
      </c>
      <c r="T125" s="65">
        <f t="shared" si="9"/>
        <v>0</v>
      </c>
      <c r="U125" s="66">
        <f t="shared" si="9"/>
        <v>0</v>
      </c>
      <c r="V125" s="64">
        <f t="shared" si="9"/>
        <v>0</v>
      </c>
      <c r="W125" s="65">
        <f t="shared" si="9"/>
        <v>0</v>
      </c>
      <c r="X125" s="66">
        <f t="shared" si="9"/>
        <v>0</v>
      </c>
      <c r="Y125" s="48">
        <f t="shared" si="9"/>
        <v>9420179</v>
      </c>
      <c r="Z125" s="48">
        <f t="shared" si="9"/>
        <v>30204633</v>
      </c>
      <c r="AA125" s="48"/>
      <c r="AB125" s="48"/>
      <c r="AC125" s="57"/>
      <c r="AD125" s="64">
        <f t="shared" ref="AD125" si="10">SUM(AD16:AD122)</f>
        <v>91960</v>
      </c>
      <c r="AE125" s="65"/>
      <c r="AF125" s="65"/>
      <c r="AG125" s="66"/>
      <c r="AH125" s="64">
        <f t="shared" ref="AH125" si="11">SUM(AH16:AH122)</f>
        <v>717533</v>
      </c>
      <c r="AI125" s="65"/>
      <c r="AJ125" s="65"/>
      <c r="AK125" s="66"/>
      <c r="AL125" s="64">
        <f t="shared" ref="AL125" si="12">SUM(AL16:AL122)</f>
        <v>2468435</v>
      </c>
      <c r="AM125" s="65"/>
      <c r="AN125" s="65"/>
      <c r="AO125" s="66"/>
      <c r="AP125" s="64">
        <f t="shared" ref="AP125" si="13">SUM(AP16:AP122)</f>
        <v>0</v>
      </c>
      <c r="AQ125" s="65"/>
      <c r="AR125" s="65"/>
      <c r="AS125" s="66"/>
      <c r="AT125" s="48">
        <f>SUM(AT16:AT122)</f>
        <v>33482561</v>
      </c>
      <c r="AU125" s="48">
        <f>SUM(AU16:AU122)</f>
        <v>24062382</v>
      </c>
    </row>
    <row r="126" spans="2:47" ht="20.25" customHeight="1" x14ac:dyDescent="0.2">
      <c r="B126" s="537"/>
      <c r="C126" s="537"/>
      <c r="D126" s="537"/>
      <c r="E126" s="537"/>
      <c r="F126" s="44"/>
      <c r="G126" s="16"/>
      <c r="H126" s="16"/>
      <c r="K126" s="8">
        <f>+'[2]Planilla  2021'!$AK$115-K125</f>
        <v>0</v>
      </c>
      <c r="AT126" s="74"/>
    </row>
    <row r="127" spans="2:47" x14ac:dyDescent="0.2">
      <c r="B127" s="538" t="s">
        <v>41</v>
      </c>
      <c r="C127" s="538"/>
      <c r="D127" s="538"/>
      <c r="E127" s="538"/>
      <c r="F127" s="538"/>
      <c r="G127" s="538"/>
      <c r="H127" s="538"/>
      <c r="I127" s="538"/>
      <c r="J127" s="538"/>
      <c r="K127" s="538"/>
      <c r="L127" s="538"/>
      <c r="M127" s="538"/>
      <c r="N127" s="538"/>
      <c r="O127" s="538"/>
      <c r="P127" s="538"/>
      <c r="Q127" s="538"/>
      <c r="R127" s="538"/>
      <c r="S127" s="538"/>
      <c r="T127" s="538"/>
      <c r="U127" s="538"/>
      <c r="V127" s="538"/>
      <c r="W127" s="538"/>
      <c r="X127" s="538"/>
      <c r="Y127" s="538"/>
      <c r="Z127" s="538"/>
      <c r="AA127" s="538"/>
      <c r="AB127" s="538"/>
      <c r="AC127" s="538"/>
      <c r="AD127" s="45"/>
      <c r="AE127" s="46"/>
      <c r="AF127" s="45"/>
      <c r="AG127" s="45"/>
      <c r="AH127" s="45"/>
      <c r="AI127" s="47"/>
      <c r="AJ127" s="45"/>
      <c r="AK127" s="45"/>
      <c r="AL127" s="45"/>
      <c r="AM127" s="47"/>
      <c r="AN127" s="45"/>
      <c r="AO127" s="45"/>
      <c r="AP127" s="45"/>
      <c r="AQ127" s="47"/>
      <c r="AR127" s="45"/>
      <c r="AS127" s="45"/>
    </row>
    <row r="128" spans="2:47" x14ac:dyDescent="0.2">
      <c r="Z128" s="68"/>
      <c r="AA128" s="69"/>
      <c r="AP128" s="8"/>
      <c r="AQ128" s="8"/>
    </row>
    <row r="129" spans="26:27" x14ac:dyDescent="0.2">
      <c r="Z129" s="69"/>
      <c r="AA129" s="69"/>
    </row>
    <row r="130" spans="26:27" x14ac:dyDescent="0.2">
      <c r="Z130" s="68"/>
      <c r="AA130" s="69"/>
    </row>
  </sheetData>
  <autoFilter ref="B15:AU122"/>
  <mergeCells count="16">
    <mergeCell ref="AT14:AU14"/>
    <mergeCell ref="B125:I125"/>
    <mergeCell ref="B126:E126"/>
    <mergeCell ref="B127:AC127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16">
    <cfRule type="duplicateValues" dxfId="20" priority="5"/>
  </conditionalFormatting>
  <conditionalFormatting sqref="D16">
    <cfRule type="duplicateValues" dxfId="19" priority="6"/>
  </conditionalFormatting>
  <conditionalFormatting sqref="D124">
    <cfRule type="duplicateValues" dxfId="18" priority="8"/>
  </conditionalFormatting>
  <conditionalFormatting sqref="D17:D122">
    <cfRule type="duplicateValues" dxfId="17" priority="1"/>
  </conditionalFormatting>
  <conditionalFormatting sqref="D17:D122">
    <cfRule type="duplicateValues" dxfId="16" priority="2"/>
  </conditionalFormatting>
  <conditionalFormatting sqref="D123">
    <cfRule type="duplicateValues" dxfId="15" priority="9"/>
  </conditionalFormatting>
  <pageMargins left="0.7" right="0.7" top="0.75" bottom="0.75" header="0.3" footer="0.3"/>
  <pageSetup scale="3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229"/>
  <sheetViews>
    <sheetView showGridLines="0" topLeftCell="V9" zoomScaleNormal="100" workbookViewId="0">
      <pane ySplit="7" topLeftCell="A214" activePane="bottomLeft" state="frozen"/>
      <selection activeCell="A9" sqref="A9"/>
      <selection pane="bottomLeft" activeCell="AD221" sqref="AD221"/>
    </sheetView>
  </sheetViews>
  <sheetFormatPr baseColWidth="10" defaultRowHeight="11.25" x14ac:dyDescent="0.2"/>
  <cols>
    <col min="1" max="1" width="5" style="4" customWidth="1"/>
    <col min="2" max="2" width="10.140625" style="16" customWidth="1"/>
    <col min="3" max="3" width="9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10" width="9.7109375" style="4" customWidth="1"/>
    <col min="11" max="25" width="12" style="4" customWidth="1"/>
    <col min="26" max="26" width="10.140625" style="4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392"/>
      <c r="AE1" s="2"/>
      <c r="AF1" s="392"/>
      <c r="AG1" s="392"/>
      <c r="AH1" s="392"/>
      <c r="AI1" s="3"/>
      <c r="AJ1" s="392"/>
      <c r="AK1" s="392"/>
      <c r="AL1" s="392"/>
      <c r="AM1" s="3"/>
      <c r="AN1" s="392"/>
      <c r="AO1" s="392"/>
      <c r="AP1" s="392"/>
      <c r="AQ1" s="3"/>
      <c r="AR1" s="392"/>
      <c r="AS1" s="392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392"/>
      <c r="AE2" s="2"/>
      <c r="AF2" s="392"/>
      <c r="AG2" s="392"/>
      <c r="AH2" s="392"/>
      <c r="AI2" s="3"/>
      <c r="AJ2" s="392"/>
      <c r="AK2" s="392"/>
      <c r="AL2" s="392"/>
      <c r="AM2" s="3"/>
      <c r="AN2" s="392"/>
      <c r="AO2" s="392"/>
      <c r="AP2" s="392"/>
      <c r="AQ2" s="3"/>
      <c r="AR2" s="392"/>
      <c r="AS2" s="392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391"/>
      <c r="AE3" s="6"/>
      <c r="AF3" s="391"/>
      <c r="AG3" s="391"/>
      <c r="AH3" s="391"/>
      <c r="AI3" s="7"/>
      <c r="AJ3" s="391"/>
      <c r="AK3" s="391"/>
      <c r="AL3" s="391"/>
      <c r="AM3" s="7"/>
      <c r="AN3" s="391"/>
      <c r="AO3" s="391"/>
      <c r="AP3" s="391"/>
      <c r="AQ3" s="7"/>
      <c r="AR3" s="391"/>
      <c r="AS3" s="391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391"/>
      <c r="AE4" s="6"/>
      <c r="AF4" s="391"/>
      <c r="AG4" s="391"/>
      <c r="AH4" s="391"/>
      <c r="AI4" s="7"/>
      <c r="AJ4" s="391"/>
      <c r="AK4" s="391"/>
      <c r="AL4" s="391"/>
      <c r="AM4" s="7"/>
      <c r="AN4" s="391"/>
      <c r="AO4" s="391"/>
      <c r="AP4" s="391"/>
      <c r="AQ4" s="7"/>
      <c r="AR4" s="391"/>
      <c r="AS4" s="391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391"/>
      <c r="AE5" s="6"/>
      <c r="AF5" s="391"/>
      <c r="AG5" s="391"/>
      <c r="AH5" s="391"/>
      <c r="AI5" s="7"/>
      <c r="AJ5" s="391"/>
      <c r="AK5" s="391"/>
      <c r="AL5" s="391"/>
      <c r="AM5" s="7"/>
      <c r="AN5" s="391"/>
      <c r="AO5" s="391"/>
      <c r="AP5" s="391"/>
      <c r="AQ5" s="7"/>
      <c r="AR5" s="391"/>
      <c r="AS5" s="391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391"/>
      <c r="AE6" s="6"/>
      <c r="AF6" s="391"/>
      <c r="AG6" s="391"/>
      <c r="AH6" s="391"/>
      <c r="AI6" s="7"/>
      <c r="AJ6" s="391"/>
      <c r="AK6" s="391"/>
      <c r="AL6" s="391"/>
      <c r="AM6" s="7"/>
      <c r="AN6" s="391"/>
      <c r="AO6" s="391"/>
      <c r="AP6" s="391"/>
      <c r="AQ6" s="7"/>
      <c r="AR6" s="391"/>
      <c r="AS6" s="391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391"/>
      <c r="AE7" s="6"/>
      <c r="AF7" s="391"/>
      <c r="AG7" s="391"/>
      <c r="AH7" s="391"/>
      <c r="AI7" s="7"/>
      <c r="AJ7" s="391"/>
      <c r="AK7" s="391"/>
      <c r="AL7" s="391"/>
      <c r="AM7" s="7"/>
      <c r="AN7" s="391"/>
      <c r="AO7" s="391"/>
      <c r="AP7" s="391"/>
      <c r="AQ7" s="7"/>
      <c r="AR7" s="391"/>
      <c r="AS7" s="391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391"/>
      <c r="AE8" s="6"/>
      <c r="AF8" s="391"/>
      <c r="AG8" s="391"/>
      <c r="AH8" s="391"/>
      <c r="AI8" s="7"/>
      <c r="AJ8" s="391"/>
      <c r="AK8" s="391"/>
      <c r="AL8" s="391"/>
      <c r="AM8" s="7"/>
      <c r="AN8" s="391"/>
      <c r="AO8" s="391"/>
      <c r="AP8" s="391"/>
      <c r="AQ8" s="7"/>
      <c r="AR8" s="391"/>
      <c r="AS8" s="391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391"/>
      <c r="AE9" s="6"/>
      <c r="AF9" s="391"/>
      <c r="AG9" s="391"/>
      <c r="AH9" s="391"/>
      <c r="AI9" s="7"/>
      <c r="AJ9" s="391"/>
      <c r="AK9" s="391"/>
      <c r="AL9" s="391"/>
      <c r="AM9" s="7"/>
      <c r="AN9" s="391"/>
      <c r="AO9" s="391"/>
      <c r="AP9" s="391"/>
      <c r="AQ9" s="7"/>
      <c r="AR9" s="391"/>
      <c r="AS9" s="391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390"/>
      <c r="C11" s="390"/>
      <c r="D11" s="390"/>
      <c r="E11" s="390"/>
      <c r="F11" s="390"/>
      <c r="G11" s="390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0"/>
      <c r="V11" s="390"/>
      <c r="W11" s="390"/>
      <c r="X11" s="390"/>
      <c r="Y11" s="390"/>
      <c r="Z11" s="390"/>
      <c r="AA11" s="390"/>
      <c r="AB11" s="390"/>
      <c r="AC11" s="390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390"/>
      <c r="H12" s="390"/>
      <c r="I12" s="390"/>
      <c r="J12" s="390"/>
      <c r="K12" s="390"/>
      <c r="L12" s="390"/>
      <c r="M12" s="390"/>
      <c r="N12" s="390"/>
      <c r="O12" s="390"/>
      <c r="P12" s="390"/>
      <c r="Q12" s="390"/>
      <c r="R12" s="390"/>
      <c r="S12" s="390"/>
      <c r="T12" s="390"/>
      <c r="U12" s="390"/>
      <c r="V12" s="390"/>
      <c r="W12" s="390"/>
      <c r="X12" s="390"/>
      <c r="Y12" s="390"/>
      <c r="Z12" s="390"/>
      <c r="AA12" s="390"/>
      <c r="AB12" s="390"/>
      <c r="AC12" s="390"/>
    </row>
    <row r="13" spans="2:47" ht="18.75" x14ac:dyDescent="0.2">
      <c r="B13" s="15">
        <v>30792063</v>
      </c>
      <c r="C13" s="15">
        <v>30792063</v>
      </c>
      <c r="D13" s="15">
        <v>30792063</v>
      </c>
      <c r="E13" s="15">
        <f>+Y219</f>
        <v>10118417.592999998</v>
      </c>
      <c r="F13" s="84"/>
      <c r="G13" s="394"/>
      <c r="H13" s="394"/>
      <c r="I13" s="390"/>
      <c r="J13" s="390"/>
      <c r="K13" s="390"/>
      <c r="L13" s="390"/>
      <c r="M13" s="390"/>
      <c r="N13" s="390"/>
      <c r="O13" s="390"/>
      <c r="P13" s="390"/>
      <c r="Q13" s="390"/>
      <c r="R13" s="390"/>
      <c r="S13" s="390"/>
      <c r="T13" s="390"/>
      <c r="U13" s="390"/>
      <c r="V13" s="390"/>
      <c r="W13" s="390"/>
      <c r="X13" s="390"/>
      <c r="Y13" s="390"/>
      <c r="Z13" s="390"/>
      <c r="AA13" s="390"/>
      <c r="AB13" s="390"/>
      <c r="AC13" s="390"/>
      <c r="AD13" s="4">
        <v>10</v>
      </c>
      <c r="AE13" s="8">
        <v>9</v>
      </c>
    </row>
    <row r="14" spans="2:47" ht="15" customHeight="1" x14ac:dyDescent="0.2">
      <c r="C14" s="17"/>
      <c r="D14" s="18"/>
      <c r="E14" s="17">
        <v>3</v>
      </c>
      <c r="F14" s="17">
        <v>24</v>
      </c>
      <c r="H14" s="4">
        <v>9</v>
      </c>
      <c r="I14" s="4">
        <v>15</v>
      </c>
      <c r="J14" s="4">
        <v>10</v>
      </c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24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</row>
    <row r="16" spans="2:47" s="26" customFormat="1" ht="22.5" x14ac:dyDescent="0.25">
      <c r="B16" s="27">
        <v>1</v>
      </c>
      <c r="C16" s="27" t="s">
        <v>39</v>
      </c>
      <c r="D16" s="28">
        <v>20144816</v>
      </c>
      <c r="E16" s="29" t="s">
        <v>1760</v>
      </c>
      <c r="F16" s="29" t="s">
        <v>54</v>
      </c>
      <c r="G16" s="30" t="s">
        <v>1761</v>
      </c>
      <c r="H16" s="29" t="s">
        <v>1762</v>
      </c>
      <c r="I16" s="29" t="s">
        <v>1763</v>
      </c>
      <c r="J16" s="29">
        <v>3116335</v>
      </c>
      <c r="K16" s="29"/>
      <c r="L16" s="29"/>
      <c r="M16" s="31">
        <v>0</v>
      </c>
      <c r="N16" s="31">
        <v>0</v>
      </c>
      <c r="O16" s="31">
        <v>0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>SUM(M16:X16)</f>
        <v>0</v>
      </c>
      <c r="Z16" s="29">
        <v>1000</v>
      </c>
      <c r="AA16" s="29">
        <v>4</v>
      </c>
      <c r="AB16" s="408">
        <v>44221</v>
      </c>
      <c r="AC16" s="408">
        <v>44280</v>
      </c>
      <c r="AD16" s="29"/>
      <c r="AE16" s="29"/>
      <c r="AF16" s="408"/>
      <c r="AG16" s="29"/>
      <c r="AH16" s="29"/>
      <c r="AI16" s="29"/>
      <c r="AJ16" s="408"/>
      <c r="AK16" s="29"/>
      <c r="AL16" s="29"/>
      <c r="AM16" s="29"/>
      <c r="AN16" s="408"/>
      <c r="AO16" s="89"/>
      <c r="AP16" s="29"/>
      <c r="AQ16" s="29"/>
      <c r="AR16" s="408"/>
      <c r="AS16" s="89"/>
      <c r="AT16" s="37">
        <f t="shared" ref="AT16:AT79" si="0">+Z16+AD16+AH16+AL16+AP16</f>
        <v>1000</v>
      </c>
      <c r="AU16" s="38">
        <f t="shared" ref="AU16:AU79" si="1">+AT16-Y16</f>
        <v>1000</v>
      </c>
    </row>
    <row r="17" spans="2:47" s="26" customFormat="1" ht="22.5" x14ac:dyDescent="0.25">
      <c r="B17" s="27">
        <v>2</v>
      </c>
      <c r="C17" s="27" t="s">
        <v>39</v>
      </c>
      <c r="D17" s="28">
        <v>30060303</v>
      </c>
      <c r="E17" s="29" t="s">
        <v>1764</v>
      </c>
      <c r="F17" s="29" t="s">
        <v>54</v>
      </c>
      <c r="G17" s="30" t="s">
        <v>1761</v>
      </c>
      <c r="H17" s="29" t="s">
        <v>1765</v>
      </c>
      <c r="I17" s="29" t="s">
        <v>1763</v>
      </c>
      <c r="J17" s="29">
        <v>1320720</v>
      </c>
      <c r="K17" s="29"/>
      <c r="L17" s="29"/>
      <c r="M17" s="31">
        <v>0</v>
      </c>
      <c r="N17" s="31">
        <v>0</v>
      </c>
      <c r="O17" s="31">
        <v>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ref="Y17:Y80" si="2">SUM(M17:X17)</f>
        <v>0</v>
      </c>
      <c r="Z17" s="29">
        <v>210000</v>
      </c>
      <c r="AA17" s="29">
        <v>4</v>
      </c>
      <c r="AB17" s="408">
        <v>44221</v>
      </c>
      <c r="AC17" s="408">
        <v>44280</v>
      </c>
      <c r="AD17" s="29"/>
      <c r="AE17" s="29"/>
      <c r="AF17" s="408"/>
      <c r="AG17" s="29"/>
      <c r="AH17" s="29"/>
      <c r="AI17" s="29"/>
      <c r="AJ17" s="408"/>
      <c r="AK17" s="29"/>
      <c r="AL17" s="29"/>
      <c r="AM17" s="29"/>
      <c r="AN17" s="408"/>
      <c r="AO17" s="89"/>
      <c r="AP17" s="29"/>
      <c r="AQ17" s="29"/>
      <c r="AR17" s="408"/>
      <c r="AS17" s="89"/>
      <c r="AT17" s="37">
        <f t="shared" si="0"/>
        <v>210000</v>
      </c>
      <c r="AU17" s="38">
        <f t="shared" si="1"/>
        <v>210000</v>
      </c>
    </row>
    <row r="18" spans="2:47" s="26" customFormat="1" ht="22.5" x14ac:dyDescent="0.25">
      <c r="B18" s="27">
        <v>3</v>
      </c>
      <c r="C18" s="27" t="s">
        <v>39</v>
      </c>
      <c r="D18" s="28">
        <v>30066107</v>
      </c>
      <c r="E18" s="29" t="s">
        <v>1766</v>
      </c>
      <c r="F18" s="29" t="s">
        <v>54</v>
      </c>
      <c r="G18" s="30" t="s">
        <v>1761</v>
      </c>
      <c r="H18" s="29" t="s">
        <v>1767</v>
      </c>
      <c r="I18" s="29" t="s">
        <v>1763</v>
      </c>
      <c r="J18" s="29">
        <v>1623381</v>
      </c>
      <c r="K18" s="29"/>
      <c r="L18" s="29"/>
      <c r="M18" s="31">
        <v>0</v>
      </c>
      <c r="N18" s="31">
        <v>0</v>
      </c>
      <c r="O18" s="31">
        <v>0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2"/>
        <v>0</v>
      </c>
      <c r="Z18" s="29">
        <v>1000</v>
      </c>
      <c r="AA18" s="29">
        <v>4</v>
      </c>
      <c r="AB18" s="408">
        <v>44221</v>
      </c>
      <c r="AC18" s="408">
        <v>44280</v>
      </c>
      <c r="AD18" s="29"/>
      <c r="AE18" s="29"/>
      <c r="AF18" s="408"/>
      <c r="AG18" s="29"/>
      <c r="AH18" s="29"/>
      <c r="AI18" s="29"/>
      <c r="AJ18" s="408"/>
      <c r="AK18" s="29"/>
      <c r="AL18" s="29"/>
      <c r="AM18" s="29"/>
      <c r="AN18" s="408"/>
      <c r="AO18" s="89"/>
      <c r="AP18" s="29"/>
      <c r="AQ18" s="29"/>
      <c r="AR18" s="408"/>
      <c r="AS18" s="89"/>
      <c r="AT18" s="37">
        <f t="shared" si="0"/>
        <v>1000</v>
      </c>
      <c r="AU18" s="38">
        <f t="shared" si="1"/>
        <v>1000</v>
      </c>
    </row>
    <row r="19" spans="2:47" s="26" customFormat="1" ht="22.5" x14ac:dyDescent="0.25">
      <c r="B19" s="27">
        <v>4</v>
      </c>
      <c r="C19" s="27" t="s">
        <v>39</v>
      </c>
      <c r="D19" s="28">
        <v>30072851</v>
      </c>
      <c r="E19" s="29" t="s">
        <v>1768</v>
      </c>
      <c r="F19" s="29" t="s">
        <v>54</v>
      </c>
      <c r="G19" s="30" t="s">
        <v>1761</v>
      </c>
      <c r="H19" s="29" t="s">
        <v>1769</v>
      </c>
      <c r="I19" s="29" t="s">
        <v>1763</v>
      </c>
      <c r="J19" s="29">
        <v>419291</v>
      </c>
      <c r="K19" s="29"/>
      <c r="L19" s="29"/>
      <c r="M19" s="31">
        <v>0</v>
      </c>
      <c r="N19" s="31">
        <v>0</v>
      </c>
      <c r="O19" s="31">
        <v>0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2"/>
        <v>0</v>
      </c>
      <c r="Z19" s="29">
        <v>1000</v>
      </c>
      <c r="AA19" s="29">
        <v>4</v>
      </c>
      <c r="AB19" s="408">
        <v>44221</v>
      </c>
      <c r="AC19" s="408">
        <v>44280</v>
      </c>
      <c r="AD19" s="29"/>
      <c r="AE19" s="29"/>
      <c r="AF19" s="408"/>
      <c r="AG19" s="29"/>
      <c r="AH19" s="29"/>
      <c r="AI19" s="29"/>
      <c r="AJ19" s="408"/>
      <c r="AK19" s="29"/>
      <c r="AL19" s="29"/>
      <c r="AM19" s="29"/>
      <c r="AN19" s="408"/>
      <c r="AO19" s="89"/>
      <c r="AP19" s="29"/>
      <c r="AQ19" s="29"/>
      <c r="AR19" s="408"/>
      <c r="AS19" s="89"/>
      <c r="AT19" s="37">
        <f t="shared" si="0"/>
        <v>1000</v>
      </c>
      <c r="AU19" s="38">
        <f t="shared" si="1"/>
        <v>1000</v>
      </c>
    </row>
    <row r="20" spans="2:47" s="26" customFormat="1" ht="35.25" customHeight="1" x14ac:dyDescent="0.25">
      <c r="B20" s="27">
        <v>5</v>
      </c>
      <c r="C20" s="27" t="s">
        <v>39</v>
      </c>
      <c r="D20" s="28">
        <v>30074676</v>
      </c>
      <c r="E20" s="29" t="s">
        <v>1770</v>
      </c>
      <c r="F20" s="29" t="s">
        <v>54</v>
      </c>
      <c r="G20" s="30" t="s">
        <v>1761</v>
      </c>
      <c r="H20" s="29" t="s">
        <v>1771</v>
      </c>
      <c r="I20" s="29" t="s">
        <v>1763</v>
      </c>
      <c r="J20" s="29">
        <v>48453</v>
      </c>
      <c r="K20" s="29"/>
      <c r="L20" s="29"/>
      <c r="M20" s="31">
        <v>1800</v>
      </c>
      <c r="N20" s="31">
        <v>0</v>
      </c>
      <c r="O20" s="31">
        <v>13890.615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2"/>
        <v>15690.615</v>
      </c>
      <c r="Z20" s="29">
        <v>5400</v>
      </c>
      <c r="AA20" s="29">
        <v>4</v>
      </c>
      <c r="AB20" s="408">
        <v>44221</v>
      </c>
      <c r="AC20" s="408">
        <v>44280</v>
      </c>
      <c r="AD20" s="29"/>
      <c r="AE20" s="29"/>
      <c r="AF20" s="408"/>
      <c r="AG20" s="29"/>
      <c r="AH20" s="29"/>
      <c r="AI20" s="29"/>
      <c r="AJ20" s="408"/>
      <c r="AK20" s="29"/>
      <c r="AL20" s="29"/>
      <c r="AM20" s="29"/>
      <c r="AN20" s="408"/>
      <c r="AO20" s="89"/>
      <c r="AP20" s="29"/>
      <c r="AQ20" s="29"/>
      <c r="AR20" s="408"/>
      <c r="AS20" s="89"/>
      <c r="AT20" s="37">
        <f t="shared" si="0"/>
        <v>5400</v>
      </c>
      <c r="AU20" s="38">
        <f t="shared" si="1"/>
        <v>-10290.615</v>
      </c>
    </row>
    <row r="21" spans="2:47" s="26" customFormat="1" ht="33.75" customHeight="1" x14ac:dyDescent="0.25">
      <c r="B21" s="27">
        <v>6</v>
      </c>
      <c r="C21" s="27" t="s">
        <v>39</v>
      </c>
      <c r="D21" s="28">
        <v>30076137</v>
      </c>
      <c r="E21" s="29" t="s">
        <v>1772</v>
      </c>
      <c r="F21" s="29" t="s">
        <v>60</v>
      </c>
      <c r="G21" s="30" t="s">
        <v>1761</v>
      </c>
      <c r="H21" s="29" t="s">
        <v>1773</v>
      </c>
      <c r="I21" s="29" t="s">
        <v>1763</v>
      </c>
      <c r="J21" s="29">
        <v>48450</v>
      </c>
      <c r="K21" s="29"/>
      <c r="L21" s="29"/>
      <c r="M21" s="31">
        <v>0</v>
      </c>
      <c r="N21" s="31">
        <v>0</v>
      </c>
      <c r="O21" s="31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2"/>
        <v>0</v>
      </c>
      <c r="Z21" s="29">
        <v>48450</v>
      </c>
      <c r="AA21" s="29">
        <v>4</v>
      </c>
      <c r="AB21" s="408">
        <v>44221</v>
      </c>
      <c r="AC21" s="408">
        <v>44280</v>
      </c>
      <c r="AD21" s="29"/>
      <c r="AE21" s="29"/>
      <c r="AF21" s="408"/>
      <c r="AG21" s="29"/>
      <c r="AH21" s="29"/>
      <c r="AI21" s="29"/>
      <c r="AJ21" s="408"/>
      <c r="AK21" s="29"/>
      <c r="AL21" s="29"/>
      <c r="AM21" s="29"/>
      <c r="AN21" s="408"/>
      <c r="AO21" s="89"/>
      <c r="AP21" s="29"/>
      <c r="AQ21" s="29"/>
      <c r="AR21" s="408"/>
      <c r="AS21" s="89"/>
      <c r="AT21" s="37">
        <f t="shared" si="0"/>
        <v>48450</v>
      </c>
      <c r="AU21" s="38">
        <f t="shared" si="1"/>
        <v>48450</v>
      </c>
    </row>
    <row r="22" spans="2:47" s="26" customFormat="1" ht="33.75" x14ac:dyDescent="0.25">
      <c r="B22" s="27">
        <v>7</v>
      </c>
      <c r="C22" s="27" t="s">
        <v>39</v>
      </c>
      <c r="D22" s="28">
        <v>30076311</v>
      </c>
      <c r="E22" s="29" t="s">
        <v>1774</v>
      </c>
      <c r="F22" s="29" t="s">
        <v>54</v>
      </c>
      <c r="G22" s="30" t="s">
        <v>1761</v>
      </c>
      <c r="H22" s="29" t="s">
        <v>1775</v>
      </c>
      <c r="I22" s="29" t="s">
        <v>1763</v>
      </c>
      <c r="J22" s="29">
        <v>56300</v>
      </c>
      <c r="K22" s="29"/>
      <c r="L22" s="29"/>
      <c r="M22" s="31">
        <v>31858.913</v>
      </c>
      <c r="N22" s="31">
        <v>0</v>
      </c>
      <c r="O22" s="31">
        <v>1839.8140000000001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2"/>
        <v>33698.726999999999</v>
      </c>
      <c r="Z22" s="29">
        <v>56300</v>
      </c>
      <c r="AA22" s="29">
        <v>4</v>
      </c>
      <c r="AB22" s="408">
        <v>44221</v>
      </c>
      <c r="AC22" s="408">
        <v>44280</v>
      </c>
      <c r="AD22" s="29"/>
      <c r="AE22" s="29"/>
      <c r="AF22" s="408"/>
      <c r="AG22" s="29"/>
      <c r="AH22" s="29"/>
      <c r="AI22" s="29"/>
      <c r="AJ22" s="408"/>
      <c r="AK22" s="29"/>
      <c r="AL22" s="29"/>
      <c r="AM22" s="29"/>
      <c r="AN22" s="408"/>
      <c r="AO22" s="89"/>
      <c r="AP22" s="29"/>
      <c r="AQ22" s="29"/>
      <c r="AR22" s="408"/>
      <c r="AS22" s="89"/>
      <c r="AT22" s="37">
        <f t="shared" si="0"/>
        <v>56300</v>
      </c>
      <c r="AU22" s="38">
        <f t="shared" si="1"/>
        <v>22601.273000000001</v>
      </c>
    </row>
    <row r="23" spans="2:47" s="26" customFormat="1" ht="22.5" x14ac:dyDescent="0.25">
      <c r="B23" s="27">
        <v>8</v>
      </c>
      <c r="C23" s="27" t="s">
        <v>39</v>
      </c>
      <c r="D23" s="28">
        <v>30076719</v>
      </c>
      <c r="E23" s="29" t="s">
        <v>1776</v>
      </c>
      <c r="F23" s="29" t="s">
        <v>54</v>
      </c>
      <c r="G23" s="30" t="s">
        <v>1761</v>
      </c>
      <c r="H23" s="29" t="s">
        <v>1777</v>
      </c>
      <c r="I23" s="29" t="s">
        <v>1763</v>
      </c>
      <c r="J23" s="29">
        <v>1583065</v>
      </c>
      <c r="K23" s="29"/>
      <c r="L23" s="29"/>
      <c r="M23" s="31">
        <v>0</v>
      </c>
      <c r="N23" s="31">
        <v>0</v>
      </c>
      <c r="O23" s="31">
        <v>0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2"/>
        <v>0</v>
      </c>
      <c r="Z23" s="29">
        <v>1000</v>
      </c>
      <c r="AA23" s="29">
        <v>1</v>
      </c>
      <c r="AB23" s="408">
        <v>44207</v>
      </c>
      <c r="AC23" s="408">
        <v>44249</v>
      </c>
      <c r="AD23" s="29"/>
      <c r="AE23" s="29"/>
      <c r="AF23" s="408"/>
      <c r="AG23" s="29"/>
      <c r="AH23" s="29"/>
      <c r="AI23" s="29"/>
      <c r="AJ23" s="408"/>
      <c r="AK23" s="29"/>
      <c r="AL23" s="29"/>
      <c r="AM23" s="29"/>
      <c r="AN23" s="408"/>
      <c r="AO23" s="89"/>
      <c r="AP23" s="29"/>
      <c r="AQ23" s="29"/>
      <c r="AR23" s="408"/>
      <c r="AS23" s="89"/>
      <c r="AT23" s="37">
        <f t="shared" si="0"/>
        <v>1000</v>
      </c>
      <c r="AU23" s="38">
        <f t="shared" si="1"/>
        <v>1000</v>
      </c>
    </row>
    <row r="24" spans="2:47" s="26" customFormat="1" ht="23.25" customHeight="1" x14ac:dyDescent="0.25">
      <c r="B24" s="27">
        <v>9</v>
      </c>
      <c r="C24" s="27" t="s">
        <v>39</v>
      </c>
      <c r="D24" s="28">
        <v>30082319</v>
      </c>
      <c r="E24" s="29" t="s">
        <v>1778</v>
      </c>
      <c r="F24" s="29" t="s">
        <v>60</v>
      </c>
      <c r="G24" s="30" t="s">
        <v>1761</v>
      </c>
      <c r="H24" s="29" t="s">
        <v>1779</v>
      </c>
      <c r="I24" s="29" t="s">
        <v>1763</v>
      </c>
      <c r="J24" s="29">
        <v>12658</v>
      </c>
      <c r="K24" s="29"/>
      <c r="L24" s="29"/>
      <c r="M24" s="31">
        <v>0</v>
      </c>
      <c r="N24" s="31">
        <v>0</v>
      </c>
      <c r="O24" s="31">
        <v>0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2"/>
        <v>0</v>
      </c>
      <c r="Z24" s="29">
        <v>12000</v>
      </c>
      <c r="AA24" s="29">
        <v>4</v>
      </c>
      <c r="AB24" s="408">
        <v>44221</v>
      </c>
      <c r="AC24" s="408">
        <v>44280</v>
      </c>
      <c r="AD24" s="29"/>
      <c r="AE24" s="29"/>
      <c r="AF24" s="408"/>
      <c r="AG24" s="29"/>
      <c r="AH24" s="29"/>
      <c r="AI24" s="29"/>
      <c r="AJ24" s="408"/>
      <c r="AK24" s="29"/>
      <c r="AL24" s="29"/>
      <c r="AM24" s="29"/>
      <c r="AN24" s="408"/>
      <c r="AO24" s="89"/>
      <c r="AP24" s="29"/>
      <c r="AQ24" s="29"/>
      <c r="AR24" s="408"/>
      <c r="AS24" s="89"/>
      <c r="AT24" s="37">
        <f t="shared" si="0"/>
        <v>12000</v>
      </c>
      <c r="AU24" s="38">
        <f t="shared" si="1"/>
        <v>12000</v>
      </c>
    </row>
    <row r="25" spans="2:47" s="26" customFormat="1" ht="22.5" x14ac:dyDescent="0.25">
      <c r="B25" s="27">
        <v>10</v>
      </c>
      <c r="C25" s="27" t="s">
        <v>39</v>
      </c>
      <c r="D25" s="28">
        <v>30091999</v>
      </c>
      <c r="E25" s="29" t="s">
        <v>1780</v>
      </c>
      <c r="F25" s="29" t="s">
        <v>54</v>
      </c>
      <c r="G25" s="30" t="s">
        <v>1761</v>
      </c>
      <c r="H25" s="29" t="s">
        <v>1781</v>
      </c>
      <c r="I25" s="29" t="s">
        <v>1763</v>
      </c>
      <c r="J25" s="29">
        <v>1282519</v>
      </c>
      <c r="K25" s="29"/>
      <c r="L25" s="29"/>
      <c r="M25" s="31">
        <v>0</v>
      </c>
      <c r="N25" s="31">
        <v>0</v>
      </c>
      <c r="O25" s="31">
        <v>0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2"/>
        <v>0</v>
      </c>
      <c r="Z25" s="29">
        <v>1000</v>
      </c>
      <c r="AA25" s="29">
        <v>1</v>
      </c>
      <c r="AB25" s="408">
        <v>44207</v>
      </c>
      <c r="AC25" s="408">
        <v>44249</v>
      </c>
      <c r="AD25" s="29"/>
      <c r="AE25" s="29"/>
      <c r="AF25" s="408"/>
      <c r="AG25" s="29"/>
      <c r="AH25" s="29"/>
      <c r="AI25" s="29"/>
      <c r="AJ25" s="408"/>
      <c r="AK25" s="29"/>
      <c r="AL25" s="29"/>
      <c r="AM25" s="29"/>
      <c r="AN25" s="408"/>
      <c r="AO25" s="89"/>
      <c r="AP25" s="29"/>
      <c r="AQ25" s="29"/>
      <c r="AR25" s="408"/>
      <c r="AS25" s="89"/>
      <c r="AT25" s="37">
        <f t="shared" si="0"/>
        <v>1000</v>
      </c>
      <c r="AU25" s="38">
        <f t="shared" si="1"/>
        <v>1000</v>
      </c>
    </row>
    <row r="26" spans="2:47" s="26" customFormat="1" ht="22.5" x14ac:dyDescent="0.25">
      <c r="B26" s="27">
        <v>11</v>
      </c>
      <c r="C26" s="27" t="s">
        <v>39</v>
      </c>
      <c r="D26" s="28">
        <v>30092698</v>
      </c>
      <c r="E26" s="29" t="s">
        <v>1782</v>
      </c>
      <c r="F26" s="29" t="s">
        <v>54</v>
      </c>
      <c r="G26" s="30" t="s">
        <v>1761</v>
      </c>
      <c r="H26" s="29" t="s">
        <v>1783</v>
      </c>
      <c r="I26" s="29" t="s">
        <v>1763</v>
      </c>
      <c r="J26" s="29">
        <v>23037</v>
      </c>
      <c r="K26" s="29"/>
      <c r="L26" s="29"/>
      <c r="M26" s="31">
        <v>0</v>
      </c>
      <c r="N26" s="31">
        <v>0</v>
      </c>
      <c r="O26" s="31">
        <v>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2"/>
        <v>0</v>
      </c>
      <c r="Z26" s="29">
        <v>12094</v>
      </c>
      <c r="AA26" s="29">
        <v>4</v>
      </c>
      <c r="AB26" s="408">
        <v>44221</v>
      </c>
      <c r="AC26" s="408">
        <v>44280</v>
      </c>
      <c r="AD26" s="29"/>
      <c r="AE26" s="29"/>
      <c r="AF26" s="408"/>
      <c r="AG26" s="29"/>
      <c r="AH26" s="29"/>
      <c r="AI26" s="29"/>
      <c r="AJ26" s="408"/>
      <c r="AK26" s="29"/>
      <c r="AL26" s="29"/>
      <c r="AM26" s="29"/>
      <c r="AN26" s="408"/>
      <c r="AO26" s="89"/>
      <c r="AP26" s="29"/>
      <c r="AQ26" s="29"/>
      <c r="AR26" s="408"/>
      <c r="AS26" s="89"/>
      <c r="AT26" s="37">
        <f t="shared" si="0"/>
        <v>12094</v>
      </c>
      <c r="AU26" s="38">
        <f t="shared" si="1"/>
        <v>12094</v>
      </c>
    </row>
    <row r="27" spans="2:47" s="26" customFormat="1" ht="22.5" x14ac:dyDescent="0.25">
      <c r="B27" s="27">
        <v>12</v>
      </c>
      <c r="C27" s="27" t="s">
        <v>39</v>
      </c>
      <c r="D27" s="28">
        <v>30094511</v>
      </c>
      <c r="E27" s="29" t="s">
        <v>1784</v>
      </c>
      <c r="F27" s="29" t="s">
        <v>54</v>
      </c>
      <c r="G27" s="30" t="s">
        <v>1761</v>
      </c>
      <c r="H27" s="29" t="s">
        <v>1785</v>
      </c>
      <c r="I27" s="29" t="s">
        <v>1763</v>
      </c>
      <c r="J27" s="29">
        <v>1089085</v>
      </c>
      <c r="K27" s="29"/>
      <c r="L27" s="29"/>
      <c r="M27" s="31">
        <v>0</v>
      </c>
      <c r="N27" s="31">
        <v>0</v>
      </c>
      <c r="O27" s="31">
        <v>0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2"/>
        <v>0</v>
      </c>
      <c r="Z27" s="29">
        <v>1000</v>
      </c>
      <c r="AA27" s="29">
        <v>4</v>
      </c>
      <c r="AB27" s="408">
        <v>44221</v>
      </c>
      <c r="AC27" s="408">
        <v>44280</v>
      </c>
      <c r="AD27" s="29"/>
      <c r="AE27" s="29"/>
      <c r="AF27" s="408"/>
      <c r="AG27" s="29"/>
      <c r="AH27" s="29"/>
      <c r="AI27" s="29"/>
      <c r="AJ27" s="408"/>
      <c r="AK27" s="29"/>
      <c r="AL27" s="29"/>
      <c r="AM27" s="29"/>
      <c r="AN27" s="408"/>
      <c r="AO27" s="89"/>
      <c r="AP27" s="29"/>
      <c r="AQ27" s="29"/>
      <c r="AR27" s="408"/>
      <c r="AS27" s="89"/>
      <c r="AT27" s="37">
        <f t="shared" si="0"/>
        <v>1000</v>
      </c>
      <c r="AU27" s="38">
        <f t="shared" si="1"/>
        <v>1000</v>
      </c>
    </row>
    <row r="28" spans="2:47" s="26" customFormat="1" ht="22.5" x14ac:dyDescent="0.25">
      <c r="B28" s="27">
        <v>13</v>
      </c>
      <c r="C28" s="27" t="s">
        <v>39</v>
      </c>
      <c r="D28" s="28">
        <v>30094637</v>
      </c>
      <c r="E28" s="29" t="s">
        <v>1786</v>
      </c>
      <c r="F28" s="29" t="s">
        <v>54</v>
      </c>
      <c r="G28" s="30" t="s">
        <v>1761</v>
      </c>
      <c r="H28" s="29" t="s">
        <v>1787</v>
      </c>
      <c r="I28" s="29" t="s">
        <v>1763</v>
      </c>
      <c r="J28" s="29">
        <v>848549</v>
      </c>
      <c r="K28" s="29"/>
      <c r="L28" s="29"/>
      <c r="M28" s="31">
        <v>0</v>
      </c>
      <c r="N28" s="31">
        <v>0</v>
      </c>
      <c r="O28" s="31">
        <v>0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2"/>
        <v>0</v>
      </c>
      <c r="Z28" s="29">
        <v>274449</v>
      </c>
      <c r="AA28" s="29">
        <v>4</v>
      </c>
      <c r="AB28" s="408">
        <v>44221</v>
      </c>
      <c r="AC28" s="408">
        <v>44280</v>
      </c>
      <c r="AD28" s="29"/>
      <c r="AE28" s="29"/>
      <c r="AF28" s="408"/>
      <c r="AG28" s="29"/>
      <c r="AH28" s="29"/>
      <c r="AI28" s="29"/>
      <c r="AJ28" s="408"/>
      <c r="AK28" s="29"/>
      <c r="AL28" s="29"/>
      <c r="AM28" s="29"/>
      <c r="AN28" s="408"/>
      <c r="AO28" s="89"/>
      <c r="AP28" s="29"/>
      <c r="AQ28" s="29"/>
      <c r="AR28" s="408"/>
      <c r="AS28" s="89"/>
      <c r="AT28" s="37">
        <f t="shared" si="0"/>
        <v>274449</v>
      </c>
      <c r="AU28" s="38">
        <f t="shared" si="1"/>
        <v>274449</v>
      </c>
    </row>
    <row r="29" spans="2:47" s="26" customFormat="1" ht="22.5" x14ac:dyDescent="0.25">
      <c r="B29" s="27">
        <v>14</v>
      </c>
      <c r="C29" s="27" t="s">
        <v>39</v>
      </c>
      <c r="D29" s="28">
        <v>30094721</v>
      </c>
      <c r="E29" s="29" t="s">
        <v>1788</v>
      </c>
      <c r="F29" s="29" t="s">
        <v>60</v>
      </c>
      <c r="G29" s="30" t="s">
        <v>1761</v>
      </c>
      <c r="H29" s="29" t="s">
        <v>1789</v>
      </c>
      <c r="I29" s="29" t="s">
        <v>1763</v>
      </c>
      <c r="J29" s="29">
        <v>43770</v>
      </c>
      <c r="K29" s="29"/>
      <c r="L29" s="29"/>
      <c r="M29" s="31">
        <v>0</v>
      </c>
      <c r="N29" s="31">
        <v>0</v>
      </c>
      <c r="O29" s="31">
        <v>0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2"/>
        <v>0</v>
      </c>
      <c r="Z29" s="29">
        <v>1000</v>
      </c>
      <c r="AA29" s="29">
        <v>4</v>
      </c>
      <c r="AB29" s="408">
        <v>44221</v>
      </c>
      <c r="AC29" s="408">
        <v>44280</v>
      </c>
      <c r="AD29" s="29"/>
      <c r="AE29" s="29"/>
      <c r="AF29" s="408"/>
      <c r="AG29" s="29"/>
      <c r="AH29" s="29"/>
      <c r="AI29" s="29"/>
      <c r="AJ29" s="408"/>
      <c r="AK29" s="29"/>
      <c r="AL29" s="29"/>
      <c r="AM29" s="29"/>
      <c r="AN29" s="408"/>
      <c r="AO29" s="89"/>
      <c r="AP29" s="29"/>
      <c r="AQ29" s="29"/>
      <c r="AR29" s="408"/>
      <c r="AS29" s="89"/>
      <c r="AT29" s="37">
        <f t="shared" si="0"/>
        <v>1000</v>
      </c>
      <c r="AU29" s="38">
        <f t="shared" si="1"/>
        <v>1000</v>
      </c>
    </row>
    <row r="30" spans="2:47" s="26" customFormat="1" ht="22.5" x14ac:dyDescent="0.25">
      <c r="B30" s="27">
        <v>15</v>
      </c>
      <c r="C30" s="27" t="s">
        <v>39</v>
      </c>
      <c r="D30" s="28">
        <v>30094962</v>
      </c>
      <c r="E30" s="29" t="s">
        <v>1790</v>
      </c>
      <c r="F30" s="29" t="s">
        <v>54</v>
      </c>
      <c r="G30" s="30" t="s">
        <v>1761</v>
      </c>
      <c r="H30" s="29" t="s">
        <v>1791</v>
      </c>
      <c r="I30" s="29" t="s">
        <v>1763</v>
      </c>
      <c r="J30" s="29">
        <v>3424021</v>
      </c>
      <c r="K30" s="29"/>
      <c r="L30" s="29"/>
      <c r="M30" s="31">
        <v>112337.004</v>
      </c>
      <c r="N30" s="31">
        <v>0</v>
      </c>
      <c r="O30" s="31">
        <v>72662.759000000005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2"/>
        <v>184999.76300000001</v>
      </c>
      <c r="Z30" s="29">
        <v>430000</v>
      </c>
      <c r="AA30" s="29">
        <v>4</v>
      </c>
      <c r="AB30" s="408">
        <v>44221</v>
      </c>
      <c r="AC30" s="408">
        <v>44280</v>
      </c>
      <c r="AD30" s="29"/>
      <c r="AE30" s="29"/>
      <c r="AF30" s="408"/>
      <c r="AG30" s="29"/>
      <c r="AH30" s="29"/>
      <c r="AI30" s="29"/>
      <c r="AJ30" s="408"/>
      <c r="AK30" s="29"/>
      <c r="AM30" s="29"/>
      <c r="AN30" s="408"/>
      <c r="AO30" s="89"/>
      <c r="AP30" s="29"/>
      <c r="AQ30" s="29"/>
      <c r="AR30" s="408"/>
      <c r="AS30" s="89"/>
      <c r="AT30" s="37">
        <f t="shared" si="0"/>
        <v>430000</v>
      </c>
      <c r="AU30" s="38">
        <f t="shared" si="1"/>
        <v>245000.23699999999</v>
      </c>
    </row>
    <row r="31" spans="2:47" s="26" customFormat="1" ht="22.5" x14ac:dyDescent="0.25">
      <c r="B31" s="27">
        <v>16</v>
      </c>
      <c r="C31" s="27" t="s">
        <v>39</v>
      </c>
      <c r="D31" s="28">
        <v>30102523</v>
      </c>
      <c r="E31" s="29" t="s">
        <v>1792</v>
      </c>
      <c r="F31" s="29" t="s">
        <v>54</v>
      </c>
      <c r="G31" s="30" t="s">
        <v>1761</v>
      </c>
      <c r="H31" s="29" t="s">
        <v>1793</v>
      </c>
      <c r="I31" s="29" t="s">
        <v>1763</v>
      </c>
      <c r="J31" s="29">
        <v>73867</v>
      </c>
      <c r="K31" s="29"/>
      <c r="L31" s="29"/>
      <c r="M31" s="31">
        <v>0</v>
      </c>
      <c r="N31" s="31">
        <v>0</v>
      </c>
      <c r="O31" s="31">
        <v>0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2"/>
        <v>0</v>
      </c>
      <c r="Z31" s="29">
        <v>1000</v>
      </c>
      <c r="AA31" s="29">
        <v>4</v>
      </c>
      <c r="AB31" s="408">
        <v>44221</v>
      </c>
      <c r="AC31" s="408">
        <v>44280</v>
      </c>
      <c r="AD31" s="29"/>
      <c r="AE31" s="29"/>
      <c r="AF31" s="408"/>
      <c r="AG31" s="29"/>
      <c r="AH31" s="29"/>
      <c r="AI31" s="29"/>
      <c r="AJ31" s="408"/>
      <c r="AK31" s="29"/>
      <c r="AL31" s="29"/>
      <c r="AM31" s="29"/>
      <c r="AN31" s="408"/>
      <c r="AO31" s="89"/>
      <c r="AP31" s="29"/>
      <c r="AQ31" s="29"/>
      <c r="AR31" s="408"/>
      <c r="AS31" s="89"/>
      <c r="AT31" s="37">
        <f t="shared" si="0"/>
        <v>1000</v>
      </c>
      <c r="AU31" s="38">
        <f t="shared" si="1"/>
        <v>1000</v>
      </c>
    </row>
    <row r="32" spans="2:47" s="26" customFormat="1" ht="22.5" x14ac:dyDescent="0.25">
      <c r="B32" s="27">
        <v>17</v>
      </c>
      <c r="C32" s="27" t="s">
        <v>39</v>
      </c>
      <c r="D32" s="28">
        <v>30102654</v>
      </c>
      <c r="E32" s="29" t="s">
        <v>1794</v>
      </c>
      <c r="F32" s="29" t="s">
        <v>54</v>
      </c>
      <c r="G32" s="30" t="s">
        <v>1761</v>
      </c>
      <c r="H32" s="29" t="s">
        <v>1795</v>
      </c>
      <c r="I32" s="29" t="s">
        <v>1763</v>
      </c>
      <c r="J32" s="29">
        <v>5120</v>
      </c>
      <c r="K32" s="29"/>
      <c r="L32" s="29"/>
      <c r="M32" s="31">
        <v>0</v>
      </c>
      <c r="N32" s="31">
        <v>0</v>
      </c>
      <c r="O32" s="31">
        <v>0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2"/>
        <v>0</v>
      </c>
      <c r="Z32" s="29">
        <v>1000</v>
      </c>
      <c r="AA32" s="29">
        <v>4</v>
      </c>
      <c r="AB32" s="408">
        <v>44221</v>
      </c>
      <c r="AC32" s="408">
        <v>44280</v>
      </c>
      <c r="AD32" s="29"/>
      <c r="AE32" s="29"/>
      <c r="AF32" s="408"/>
      <c r="AG32" s="29"/>
      <c r="AH32" s="29"/>
      <c r="AI32" s="29"/>
      <c r="AJ32" s="408"/>
      <c r="AK32" s="29"/>
      <c r="AL32" s="29"/>
      <c r="AM32" s="29"/>
      <c r="AN32" s="408"/>
      <c r="AO32" s="89"/>
      <c r="AP32" s="29"/>
      <c r="AQ32" s="29"/>
      <c r="AR32" s="408"/>
      <c r="AS32" s="89"/>
      <c r="AT32" s="37">
        <f t="shared" si="0"/>
        <v>1000</v>
      </c>
      <c r="AU32" s="38">
        <f t="shared" si="1"/>
        <v>1000</v>
      </c>
    </row>
    <row r="33" spans="2:47" s="26" customFormat="1" ht="45" x14ac:dyDescent="0.25">
      <c r="B33" s="27">
        <v>18</v>
      </c>
      <c r="C33" s="27" t="s">
        <v>39</v>
      </c>
      <c r="D33" s="28">
        <v>30102677</v>
      </c>
      <c r="E33" s="29" t="s">
        <v>1796</v>
      </c>
      <c r="F33" s="29" t="s">
        <v>54</v>
      </c>
      <c r="G33" s="30" t="s">
        <v>1761</v>
      </c>
      <c r="H33" s="29" t="s">
        <v>1773</v>
      </c>
      <c r="I33" s="29" t="s">
        <v>1763</v>
      </c>
      <c r="J33" s="29">
        <v>134741</v>
      </c>
      <c r="K33" s="29"/>
      <c r="L33" s="29"/>
      <c r="M33" s="31">
        <v>0</v>
      </c>
      <c r="N33" s="31">
        <v>0</v>
      </c>
      <c r="O33" s="31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2"/>
        <v>0</v>
      </c>
      <c r="Z33" s="29">
        <v>1000</v>
      </c>
      <c r="AA33" s="29">
        <v>4</v>
      </c>
      <c r="AB33" s="408">
        <v>44221</v>
      </c>
      <c r="AC33" s="408">
        <v>44280</v>
      </c>
      <c r="AD33" s="29"/>
      <c r="AE33" s="29"/>
      <c r="AF33" s="408"/>
      <c r="AG33" s="29"/>
      <c r="AH33" s="29"/>
      <c r="AI33" s="29"/>
      <c r="AJ33" s="408"/>
      <c r="AK33" s="29"/>
      <c r="AL33" s="29"/>
      <c r="AM33" s="29"/>
      <c r="AN33" s="408"/>
      <c r="AO33" s="89"/>
      <c r="AP33" s="29"/>
      <c r="AQ33" s="29"/>
      <c r="AR33" s="408"/>
      <c r="AS33" s="89"/>
      <c r="AT33" s="37">
        <f t="shared" si="0"/>
        <v>1000</v>
      </c>
      <c r="AU33" s="38">
        <f t="shared" si="1"/>
        <v>1000</v>
      </c>
    </row>
    <row r="34" spans="2:47" s="26" customFormat="1" ht="22.5" x14ac:dyDescent="0.25">
      <c r="B34" s="27">
        <v>19</v>
      </c>
      <c r="C34" s="27" t="s">
        <v>39</v>
      </c>
      <c r="D34" s="28">
        <v>30102860</v>
      </c>
      <c r="E34" s="29" t="s">
        <v>1797</v>
      </c>
      <c r="F34" s="29" t="s">
        <v>54</v>
      </c>
      <c r="G34" s="30" t="s">
        <v>1761</v>
      </c>
      <c r="H34" s="29" t="s">
        <v>1798</v>
      </c>
      <c r="I34" s="29" t="s">
        <v>1763</v>
      </c>
      <c r="J34" s="29">
        <v>85907</v>
      </c>
      <c r="K34" s="29"/>
      <c r="L34" s="29"/>
      <c r="M34" s="31">
        <v>0</v>
      </c>
      <c r="N34" s="31">
        <v>0</v>
      </c>
      <c r="O34" s="31">
        <v>0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2"/>
        <v>0</v>
      </c>
      <c r="Z34" s="29">
        <v>85907</v>
      </c>
      <c r="AA34" s="29">
        <v>4</v>
      </c>
      <c r="AB34" s="408">
        <v>44221</v>
      </c>
      <c r="AC34" s="408">
        <v>44280</v>
      </c>
      <c r="AD34" s="29"/>
      <c r="AE34" s="29"/>
      <c r="AF34" s="408"/>
      <c r="AG34" s="29"/>
      <c r="AH34" s="29"/>
      <c r="AI34" s="29"/>
      <c r="AJ34" s="408"/>
      <c r="AK34" s="29"/>
      <c r="AL34" s="29"/>
      <c r="AM34" s="29"/>
      <c r="AN34" s="408"/>
      <c r="AO34" s="89"/>
      <c r="AP34" s="29"/>
      <c r="AQ34" s="29"/>
      <c r="AR34" s="408"/>
      <c r="AS34" s="89"/>
      <c r="AT34" s="37">
        <f t="shared" si="0"/>
        <v>85907</v>
      </c>
      <c r="AU34" s="38">
        <f t="shared" si="1"/>
        <v>85907</v>
      </c>
    </row>
    <row r="35" spans="2:47" s="26" customFormat="1" ht="22.5" x14ac:dyDescent="0.25">
      <c r="B35" s="27">
        <v>20</v>
      </c>
      <c r="C35" s="27" t="s">
        <v>39</v>
      </c>
      <c r="D35" s="28">
        <v>30102927</v>
      </c>
      <c r="E35" s="29" t="s">
        <v>1799</v>
      </c>
      <c r="F35" s="29" t="s">
        <v>54</v>
      </c>
      <c r="G35" s="30" t="s">
        <v>1761</v>
      </c>
      <c r="H35" s="29" t="s">
        <v>1800</v>
      </c>
      <c r="I35" s="29" t="s">
        <v>1763</v>
      </c>
      <c r="J35" s="29">
        <v>1604747</v>
      </c>
      <c r="K35" s="29"/>
      <c r="L35" s="29"/>
      <c r="M35" s="31">
        <v>0</v>
      </c>
      <c r="N35" s="31">
        <v>0</v>
      </c>
      <c r="O35" s="31">
        <v>0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2"/>
        <v>0</v>
      </c>
      <c r="Z35" s="29">
        <v>1000</v>
      </c>
      <c r="AA35" s="29">
        <v>1</v>
      </c>
      <c r="AB35" s="408">
        <v>44207</v>
      </c>
      <c r="AC35" s="408">
        <v>44249</v>
      </c>
      <c r="AD35" s="29"/>
      <c r="AE35" s="29"/>
      <c r="AF35" s="408"/>
      <c r="AG35" s="29"/>
      <c r="AH35" s="29"/>
      <c r="AI35" s="29"/>
      <c r="AJ35" s="408"/>
      <c r="AK35" s="29"/>
      <c r="AL35" s="29"/>
      <c r="AM35" s="29"/>
      <c r="AN35" s="408"/>
      <c r="AO35" s="89"/>
      <c r="AP35" s="29"/>
      <c r="AQ35" s="29"/>
      <c r="AR35" s="408"/>
      <c r="AS35" s="89"/>
      <c r="AT35" s="37">
        <f t="shared" si="0"/>
        <v>1000</v>
      </c>
      <c r="AU35" s="38">
        <f t="shared" si="1"/>
        <v>1000</v>
      </c>
    </row>
    <row r="36" spans="2:47" s="26" customFormat="1" ht="22.5" x14ac:dyDescent="0.25">
      <c r="B36" s="27">
        <v>21</v>
      </c>
      <c r="C36" s="27" t="s">
        <v>39</v>
      </c>
      <c r="D36" s="28">
        <v>30105687</v>
      </c>
      <c r="E36" s="29" t="s">
        <v>1801</v>
      </c>
      <c r="F36" s="29" t="s">
        <v>54</v>
      </c>
      <c r="G36" s="30" t="s">
        <v>1761</v>
      </c>
      <c r="H36" s="29" t="s">
        <v>1762</v>
      </c>
      <c r="I36" s="29" t="s">
        <v>1763</v>
      </c>
      <c r="J36" s="29">
        <v>362567</v>
      </c>
      <c r="K36" s="29"/>
      <c r="L36" s="29"/>
      <c r="M36" s="31">
        <v>0</v>
      </c>
      <c r="N36" s="31">
        <v>0</v>
      </c>
      <c r="O36" s="31">
        <v>0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2"/>
        <v>0</v>
      </c>
      <c r="Z36" s="29">
        <v>1000</v>
      </c>
      <c r="AA36" s="29">
        <v>1</v>
      </c>
      <c r="AB36" s="408">
        <v>44207</v>
      </c>
      <c r="AC36" s="408">
        <v>44249</v>
      </c>
      <c r="AD36" s="29"/>
      <c r="AE36" s="29"/>
      <c r="AF36" s="408"/>
      <c r="AG36" s="29"/>
      <c r="AH36" s="29"/>
      <c r="AI36" s="29"/>
      <c r="AJ36" s="408"/>
      <c r="AK36" s="29"/>
      <c r="AL36" s="29"/>
      <c r="AM36" s="29"/>
      <c r="AN36" s="408"/>
      <c r="AO36" s="89"/>
      <c r="AP36" s="29"/>
      <c r="AQ36" s="29"/>
      <c r="AR36" s="408"/>
      <c r="AS36" s="89"/>
      <c r="AT36" s="37">
        <f t="shared" si="0"/>
        <v>1000</v>
      </c>
      <c r="AU36" s="38">
        <f t="shared" si="1"/>
        <v>1000</v>
      </c>
    </row>
    <row r="37" spans="2:47" s="26" customFormat="1" ht="33.75" x14ac:dyDescent="0.25">
      <c r="B37" s="27">
        <v>22</v>
      </c>
      <c r="C37" s="27" t="s">
        <v>39</v>
      </c>
      <c r="D37" s="28">
        <v>30107242</v>
      </c>
      <c r="E37" s="29" t="s">
        <v>1802</v>
      </c>
      <c r="F37" s="29" t="s">
        <v>54</v>
      </c>
      <c r="G37" s="30" t="s">
        <v>1761</v>
      </c>
      <c r="H37" s="29" t="s">
        <v>1779</v>
      </c>
      <c r="I37" s="29" t="s">
        <v>1763</v>
      </c>
      <c r="J37" s="29">
        <v>19730</v>
      </c>
      <c r="K37" s="29"/>
      <c r="L37" s="29"/>
      <c r="M37" s="31">
        <v>14808.391</v>
      </c>
      <c r="N37" s="31">
        <v>0</v>
      </c>
      <c r="O37" s="31">
        <v>0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2"/>
        <v>14808.391</v>
      </c>
      <c r="Z37" s="29">
        <v>17295</v>
      </c>
      <c r="AA37" s="29">
        <v>4</v>
      </c>
      <c r="AB37" s="408">
        <v>44221</v>
      </c>
      <c r="AC37" s="408">
        <v>44280</v>
      </c>
      <c r="AD37" s="29"/>
      <c r="AE37" s="29"/>
      <c r="AF37" s="408"/>
      <c r="AG37" s="29"/>
      <c r="AH37" s="29"/>
      <c r="AI37" s="29"/>
      <c r="AJ37" s="408"/>
      <c r="AK37" s="29"/>
      <c r="AL37" s="29"/>
      <c r="AM37" s="29"/>
      <c r="AN37" s="408"/>
      <c r="AO37" s="89"/>
      <c r="AP37" s="29"/>
      <c r="AQ37" s="29"/>
      <c r="AR37" s="408"/>
      <c r="AS37" s="89"/>
      <c r="AT37" s="37">
        <f t="shared" si="0"/>
        <v>17295</v>
      </c>
      <c r="AU37" s="38">
        <f t="shared" si="1"/>
        <v>2486.6090000000004</v>
      </c>
    </row>
    <row r="38" spans="2:47" s="26" customFormat="1" ht="22.5" x14ac:dyDescent="0.25">
      <c r="B38" s="27">
        <v>23</v>
      </c>
      <c r="C38" s="27" t="s">
        <v>39</v>
      </c>
      <c r="D38" s="28">
        <v>30109118</v>
      </c>
      <c r="E38" s="29" t="s">
        <v>1803</v>
      </c>
      <c r="F38" s="29" t="s">
        <v>54</v>
      </c>
      <c r="G38" s="30" t="s">
        <v>1761</v>
      </c>
      <c r="H38" s="29" t="s">
        <v>1804</v>
      </c>
      <c r="I38" s="29" t="s">
        <v>1763</v>
      </c>
      <c r="J38" s="29">
        <v>3618316</v>
      </c>
      <c r="K38" s="29"/>
      <c r="L38" s="29"/>
      <c r="M38" s="31">
        <v>0</v>
      </c>
      <c r="N38" s="31">
        <v>0</v>
      </c>
      <c r="O38" s="31">
        <v>0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2"/>
        <v>0</v>
      </c>
      <c r="Z38" s="29">
        <v>1000</v>
      </c>
      <c r="AA38" s="29">
        <v>1</v>
      </c>
      <c r="AB38" s="408">
        <v>44207</v>
      </c>
      <c r="AC38" s="408">
        <v>44249</v>
      </c>
      <c r="AD38" s="29"/>
      <c r="AE38" s="29"/>
      <c r="AF38" s="408"/>
      <c r="AG38" s="29"/>
      <c r="AH38" s="29"/>
      <c r="AI38" s="29"/>
      <c r="AJ38" s="408"/>
      <c r="AK38" s="29"/>
      <c r="AL38" s="29"/>
      <c r="AM38" s="29"/>
      <c r="AN38" s="408"/>
      <c r="AO38" s="89"/>
      <c r="AP38" s="29"/>
      <c r="AQ38" s="29"/>
      <c r="AR38" s="408"/>
      <c r="AS38" s="89"/>
      <c r="AT38" s="37">
        <f t="shared" si="0"/>
        <v>1000</v>
      </c>
      <c r="AU38" s="38">
        <f t="shared" si="1"/>
        <v>1000</v>
      </c>
    </row>
    <row r="39" spans="2:47" s="26" customFormat="1" ht="22.5" x14ac:dyDescent="0.25">
      <c r="B39" s="27">
        <v>24</v>
      </c>
      <c r="C39" s="27" t="s">
        <v>39</v>
      </c>
      <c r="D39" s="28">
        <v>30109635</v>
      </c>
      <c r="E39" s="29" t="s">
        <v>1805</v>
      </c>
      <c r="F39" s="29" t="s">
        <v>54</v>
      </c>
      <c r="G39" s="30" t="s">
        <v>1761</v>
      </c>
      <c r="H39" s="29" t="s">
        <v>1806</v>
      </c>
      <c r="I39" s="29" t="s">
        <v>1763</v>
      </c>
      <c r="J39" s="29">
        <v>161736</v>
      </c>
      <c r="K39" s="29"/>
      <c r="L39" s="29"/>
      <c r="M39" s="31">
        <v>0</v>
      </c>
      <c r="N39" s="31">
        <v>0</v>
      </c>
      <c r="O39" s="31"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2"/>
        <v>0</v>
      </c>
      <c r="Z39" s="29">
        <v>1000</v>
      </c>
      <c r="AA39" s="29">
        <v>1</v>
      </c>
      <c r="AB39" s="408">
        <v>44207</v>
      </c>
      <c r="AC39" s="408">
        <v>44249</v>
      </c>
      <c r="AD39" s="29"/>
      <c r="AE39" s="29"/>
      <c r="AF39" s="408"/>
      <c r="AG39" s="29"/>
      <c r="AH39" s="29"/>
      <c r="AI39" s="29"/>
      <c r="AJ39" s="408"/>
      <c r="AK39" s="29"/>
      <c r="AL39" s="29"/>
      <c r="AM39" s="29"/>
      <c r="AN39" s="408"/>
      <c r="AO39" s="89"/>
      <c r="AP39" s="29"/>
      <c r="AQ39" s="29"/>
      <c r="AR39" s="408"/>
      <c r="AS39" s="89"/>
      <c r="AT39" s="37">
        <f t="shared" si="0"/>
        <v>1000</v>
      </c>
      <c r="AU39" s="38">
        <f t="shared" si="1"/>
        <v>1000</v>
      </c>
    </row>
    <row r="40" spans="2:47" s="26" customFormat="1" ht="22.5" x14ac:dyDescent="0.25">
      <c r="B40" s="27">
        <v>25</v>
      </c>
      <c r="C40" s="27" t="s">
        <v>39</v>
      </c>
      <c r="D40" s="28">
        <v>30113459</v>
      </c>
      <c r="E40" s="29" t="s">
        <v>1807</v>
      </c>
      <c r="F40" s="29" t="s">
        <v>54</v>
      </c>
      <c r="G40" s="30" t="s">
        <v>1761</v>
      </c>
      <c r="H40" s="29" t="s">
        <v>1762</v>
      </c>
      <c r="I40" s="29" t="s">
        <v>1808</v>
      </c>
      <c r="J40" s="29">
        <v>472023</v>
      </c>
      <c r="K40" s="29"/>
      <c r="L40" s="29"/>
      <c r="M40" s="31">
        <v>0</v>
      </c>
      <c r="N40" s="31">
        <v>0</v>
      </c>
      <c r="O40" s="31"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2"/>
        <v>0</v>
      </c>
      <c r="Z40" s="29">
        <v>1000</v>
      </c>
      <c r="AA40" s="29">
        <v>1</v>
      </c>
      <c r="AB40" s="408">
        <v>44207</v>
      </c>
      <c r="AC40" s="408">
        <v>44249</v>
      </c>
      <c r="AD40" s="29"/>
      <c r="AE40" s="29"/>
      <c r="AF40" s="408"/>
      <c r="AG40" s="29"/>
      <c r="AH40" s="29"/>
      <c r="AI40" s="29"/>
      <c r="AJ40" s="408"/>
      <c r="AK40" s="29"/>
      <c r="AL40" s="29"/>
      <c r="AM40" s="29"/>
      <c r="AN40" s="408"/>
      <c r="AO40" s="89"/>
      <c r="AP40" s="29"/>
      <c r="AQ40" s="29"/>
      <c r="AR40" s="408"/>
      <c r="AS40" s="89"/>
      <c r="AT40" s="37">
        <f t="shared" si="0"/>
        <v>1000</v>
      </c>
      <c r="AU40" s="38">
        <f t="shared" si="1"/>
        <v>1000</v>
      </c>
    </row>
    <row r="41" spans="2:47" s="26" customFormat="1" ht="22.5" x14ac:dyDescent="0.25">
      <c r="B41" s="27">
        <v>26</v>
      </c>
      <c r="C41" s="27" t="s">
        <v>39</v>
      </c>
      <c r="D41" s="28">
        <v>30114624</v>
      </c>
      <c r="E41" s="29" t="s">
        <v>1809</v>
      </c>
      <c r="F41" s="29" t="s">
        <v>54</v>
      </c>
      <c r="G41" s="30" t="s">
        <v>1761</v>
      </c>
      <c r="H41" s="29" t="s">
        <v>1787</v>
      </c>
      <c r="I41" s="29" t="s">
        <v>1763</v>
      </c>
      <c r="J41" s="29">
        <v>70961</v>
      </c>
      <c r="K41" s="29"/>
      <c r="L41" s="29"/>
      <c r="M41" s="31">
        <v>45607.811999999998</v>
      </c>
      <c r="N41" s="31">
        <v>16646.585999999999</v>
      </c>
      <c r="O41" s="31">
        <v>0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2"/>
        <v>62254.398000000001</v>
      </c>
      <c r="Z41" s="29">
        <v>45607</v>
      </c>
      <c r="AA41" s="29">
        <v>4</v>
      </c>
      <c r="AB41" s="408">
        <v>44221</v>
      </c>
      <c r="AC41" s="408">
        <v>44280</v>
      </c>
      <c r="AD41" s="29"/>
      <c r="AE41" s="29"/>
      <c r="AF41" s="408"/>
      <c r="AG41" s="29"/>
      <c r="AH41" s="29"/>
      <c r="AI41" s="29"/>
      <c r="AJ41" s="408"/>
      <c r="AK41" s="29"/>
      <c r="AL41" s="29"/>
      <c r="AM41" s="29"/>
      <c r="AN41" s="408"/>
      <c r="AO41" s="89"/>
      <c r="AP41" s="29"/>
      <c r="AQ41" s="29"/>
      <c r="AR41" s="408"/>
      <c r="AS41" s="89"/>
      <c r="AT41" s="37">
        <f t="shared" si="0"/>
        <v>45607</v>
      </c>
      <c r="AU41" s="38">
        <f t="shared" si="1"/>
        <v>-16647.398000000001</v>
      </c>
    </row>
    <row r="42" spans="2:47" s="26" customFormat="1" ht="22.5" x14ac:dyDescent="0.25">
      <c r="B42" s="27">
        <v>27</v>
      </c>
      <c r="C42" s="27" t="s">
        <v>39</v>
      </c>
      <c r="D42" s="28">
        <v>30117624</v>
      </c>
      <c r="E42" s="29" t="s">
        <v>1810</v>
      </c>
      <c r="F42" s="29" t="s">
        <v>60</v>
      </c>
      <c r="G42" s="30" t="s">
        <v>1761</v>
      </c>
      <c r="H42" s="29" t="s">
        <v>1811</v>
      </c>
      <c r="I42" s="29" t="s">
        <v>1763</v>
      </c>
      <c r="J42" s="29">
        <v>30708</v>
      </c>
      <c r="K42" s="29"/>
      <c r="L42" s="29"/>
      <c r="M42" s="31">
        <v>0</v>
      </c>
      <c r="N42" s="31">
        <v>0</v>
      </c>
      <c r="O42" s="31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2"/>
        <v>0</v>
      </c>
      <c r="Z42" s="29">
        <v>1000</v>
      </c>
      <c r="AA42" s="29">
        <v>1</v>
      </c>
      <c r="AB42" s="408">
        <v>44207</v>
      </c>
      <c r="AC42" s="408">
        <v>44249</v>
      </c>
      <c r="AD42" s="29"/>
      <c r="AE42" s="29"/>
      <c r="AF42" s="408"/>
      <c r="AG42" s="29"/>
      <c r="AH42" s="29"/>
      <c r="AI42" s="29"/>
      <c r="AJ42" s="408"/>
      <c r="AK42" s="29"/>
      <c r="AL42" s="29"/>
      <c r="AM42" s="29"/>
      <c r="AN42" s="408"/>
      <c r="AO42" s="89"/>
      <c r="AP42" s="29"/>
      <c r="AQ42" s="29"/>
      <c r="AR42" s="408"/>
      <c r="AS42" s="89"/>
      <c r="AT42" s="37">
        <f t="shared" si="0"/>
        <v>1000</v>
      </c>
      <c r="AU42" s="38">
        <f t="shared" si="1"/>
        <v>1000</v>
      </c>
    </row>
    <row r="43" spans="2:47" s="26" customFormat="1" ht="22.5" x14ac:dyDescent="0.25">
      <c r="B43" s="27">
        <f>+B42+1</f>
        <v>28</v>
      </c>
      <c r="C43" s="27" t="s">
        <v>39</v>
      </c>
      <c r="D43" s="28">
        <v>30121518</v>
      </c>
      <c r="E43" s="29" t="s">
        <v>1812</v>
      </c>
      <c r="F43" s="29" t="s">
        <v>54</v>
      </c>
      <c r="G43" s="30" t="s">
        <v>1761</v>
      </c>
      <c r="H43" s="29" t="s">
        <v>1800</v>
      </c>
      <c r="I43" s="29" t="s">
        <v>1763</v>
      </c>
      <c r="J43" s="29">
        <v>2737277</v>
      </c>
      <c r="K43" s="29"/>
      <c r="L43" s="29"/>
      <c r="M43" s="31">
        <v>106214.11199999999</v>
      </c>
      <c r="N43" s="31">
        <v>272464.93300000002</v>
      </c>
      <c r="O43" s="31">
        <v>0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2"/>
        <v>378679.04500000004</v>
      </c>
      <c r="Z43" s="29">
        <v>220000</v>
      </c>
      <c r="AA43" s="29">
        <v>4</v>
      </c>
      <c r="AB43" s="408">
        <v>44221</v>
      </c>
      <c r="AC43" s="408">
        <v>44280</v>
      </c>
      <c r="AD43" s="29"/>
      <c r="AE43" s="29"/>
      <c r="AF43" s="408"/>
      <c r="AG43" s="29"/>
      <c r="AH43" s="29"/>
      <c r="AI43" s="29"/>
      <c r="AJ43" s="408"/>
      <c r="AK43" s="29"/>
      <c r="AL43" s="29"/>
      <c r="AM43" s="29"/>
      <c r="AN43" s="408"/>
      <c r="AO43" s="89"/>
      <c r="AP43" s="29"/>
      <c r="AQ43" s="29"/>
      <c r="AR43" s="408"/>
      <c r="AS43" s="89"/>
      <c r="AT43" s="37">
        <f t="shared" si="0"/>
        <v>220000</v>
      </c>
      <c r="AU43" s="38">
        <f t="shared" si="1"/>
        <v>-158679.04500000004</v>
      </c>
    </row>
    <row r="44" spans="2:47" s="26" customFormat="1" ht="22.5" x14ac:dyDescent="0.25">
      <c r="B44" s="27">
        <f t="shared" ref="B44:B107" si="3">+B43+1</f>
        <v>29</v>
      </c>
      <c r="C44" s="27" t="s">
        <v>39</v>
      </c>
      <c r="D44" s="28">
        <v>30121829</v>
      </c>
      <c r="E44" s="29" t="s">
        <v>1813</v>
      </c>
      <c r="F44" s="29" t="s">
        <v>54</v>
      </c>
      <c r="G44" s="30" t="s">
        <v>1761</v>
      </c>
      <c r="H44" s="29" t="s">
        <v>1814</v>
      </c>
      <c r="I44" s="29" t="s">
        <v>1763</v>
      </c>
      <c r="J44" s="29">
        <v>486771</v>
      </c>
      <c r="K44" s="29"/>
      <c r="L44" s="29"/>
      <c r="M44" s="31">
        <v>464313.20899999997</v>
      </c>
      <c r="N44" s="31">
        <v>0</v>
      </c>
      <c r="O44" s="31"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2"/>
        <v>464313.20899999997</v>
      </c>
      <c r="Z44" s="29">
        <v>486769</v>
      </c>
      <c r="AA44" s="29">
        <v>4</v>
      </c>
      <c r="AB44" s="408">
        <v>44221</v>
      </c>
      <c r="AC44" s="408">
        <v>44280</v>
      </c>
      <c r="AD44" s="29"/>
      <c r="AE44" s="29"/>
      <c r="AF44" s="408"/>
      <c r="AG44" s="29"/>
      <c r="AH44" s="29"/>
      <c r="AI44" s="29"/>
      <c r="AJ44" s="408"/>
      <c r="AK44" s="29"/>
      <c r="AL44" s="29"/>
      <c r="AM44" s="29"/>
      <c r="AN44" s="408"/>
      <c r="AO44" s="89"/>
      <c r="AP44" s="29"/>
      <c r="AQ44" s="29"/>
      <c r="AR44" s="408"/>
      <c r="AS44" s="89"/>
      <c r="AT44" s="37">
        <f t="shared" si="0"/>
        <v>486769</v>
      </c>
      <c r="AU44" s="38">
        <f t="shared" si="1"/>
        <v>22455.791000000027</v>
      </c>
    </row>
    <row r="45" spans="2:47" s="26" customFormat="1" ht="22.5" x14ac:dyDescent="0.25">
      <c r="B45" s="27">
        <f t="shared" si="3"/>
        <v>30</v>
      </c>
      <c r="C45" s="27" t="s">
        <v>39</v>
      </c>
      <c r="D45" s="28">
        <v>30122174</v>
      </c>
      <c r="E45" s="29" t="s">
        <v>1815</v>
      </c>
      <c r="F45" s="29" t="s">
        <v>54</v>
      </c>
      <c r="G45" s="30" t="s">
        <v>1761</v>
      </c>
      <c r="H45" s="29" t="s">
        <v>1816</v>
      </c>
      <c r="I45" s="29" t="s">
        <v>1763</v>
      </c>
      <c r="J45" s="29">
        <v>396271</v>
      </c>
      <c r="K45" s="29"/>
      <c r="L45" s="29"/>
      <c r="M45" s="31">
        <v>199500.606</v>
      </c>
      <c r="N45" s="31">
        <v>4800</v>
      </c>
      <c r="O45" s="31">
        <v>80930.510999999999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2"/>
        <v>285231.11699999997</v>
      </c>
      <c r="Z45" s="29">
        <v>300000</v>
      </c>
      <c r="AA45" s="29">
        <v>4</v>
      </c>
      <c r="AB45" s="408">
        <v>44221</v>
      </c>
      <c r="AC45" s="408">
        <v>44280</v>
      </c>
      <c r="AD45" s="29"/>
      <c r="AE45" s="29"/>
      <c r="AF45" s="408"/>
      <c r="AG45" s="29"/>
      <c r="AH45" s="29"/>
      <c r="AI45" s="29"/>
      <c r="AJ45" s="408"/>
      <c r="AK45" s="29"/>
      <c r="AL45" s="29"/>
      <c r="AM45" s="29"/>
      <c r="AN45" s="408"/>
      <c r="AO45" s="89"/>
      <c r="AP45" s="29"/>
      <c r="AQ45" s="29"/>
      <c r="AR45" s="408"/>
      <c r="AS45" s="89"/>
      <c r="AT45" s="37">
        <f t="shared" si="0"/>
        <v>300000</v>
      </c>
      <c r="AU45" s="38">
        <f t="shared" si="1"/>
        <v>14768.883000000031</v>
      </c>
    </row>
    <row r="46" spans="2:47" s="26" customFormat="1" ht="22.5" x14ac:dyDescent="0.25">
      <c r="B46" s="27">
        <f t="shared" si="3"/>
        <v>31</v>
      </c>
      <c r="C46" s="27" t="s">
        <v>39</v>
      </c>
      <c r="D46" s="28">
        <v>30123379</v>
      </c>
      <c r="E46" s="29" t="s">
        <v>1817</v>
      </c>
      <c r="F46" s="29" t="s">
        <v>60</v>
      </c>
      <c r="G46" s="30" t="s">
        <v>1761</v>
      </c>
      <c r="H46" s="29" t="s">
        <v>1806</v>
      </c>
      <c r="I46" s="29" t="s">
        <v>1808</v>
      </c>
      <c r="J46" s="29">
        <v>37003</v>
      </c>
      <c r="K46" s="29"/>
      <c r="L46" s="29"/>
      <c r="M46" s="31">
        <v>0</v>
      </c>
      <c r="N46" s="31">
        <v>0</v>
      </c>
      <c r="O46" s="31"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2"/>
        <v>0</v>
      </c>
      <c r="Z46" s="29">
        <v>1000</v>
      </c>
      <c r="AA46" s="29">
        <v>1</v>
      </c>
      <c r="AB46" s="408">
        <v>44207</v>
      </c>
      <c r="AC46" s="408">
        <v>44249</v>
      </c>
      <c r="AD46" s="29"/>
      <c r="AE46" s="29"/>
      <c r="AF46" s="408"/>
      <c r="AG46" s="29"/>
      <c r="AH46" s="29"/>
      <c r="AI46" s="29"/>
      <c r="AJ46" s="408"/>
      <c r="AK46" s="29"/>
      <c r="AL46" s="29"/>
      <c r="AM46" s="29"/>
      <c r="AN46" s="408"/>
      <c r="AO46" s="89"/>
      <c r="AP46" s="29"/>
      <c r="AQ46" s="29"/>
      <c r="AR46" s="408"/>
      <c r="AS46" s="89"/>
      <c r="AT46" s="37">
        <f t="shared" si="0"/>
        <v>1000</v>
      </c>
      <c r="AU46" s="38">
        <f t="shared" si="1"/>
        <v>1000</v>
      </c>
    </row>
    <row r="47" spans="2:47" s="26" customFormat="1" ht="22.5" x14ac:dyDescent="0.25">
      <c r="B47" s="27">
        <f t="shared" si="3"/>
        <v>32</v>
      </c>
      <c r="C47" s="27" t="s">
        <v>39</v>
      </c>
      <c r="D47" s="28">
        <v>30124066</v>
      </c>
      <c r="E47" s="29" t="s">
        <v>1818</v>
      </c>
      <c r="F47" s="29" t="s">
        <v>54</v>
      </c>
      <c r="G47" s="30" t="s">
        <v>1761</v>
      </c>
      <c r="H47" s="29" t="s">
        <v>1819</v>
      </c>
      <c r="I47" s="29" t="s">
        <v>1763</v>
      </c>
      <c r="J47" s="29">
        <v>1168987</v>
      </c>
      <c r="K47" s="29"/>
      <c r="L47" s="29"/>
      <c r="M47" s="31">
        <v>0</v>
      </c>
      <c r="N47" s="31">
        <v>0</v>
      </c>
      <c r="O47" s="31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2"/>
        <v>0</v>
      </c>
      <c r="Z47" s="29">
        <v>1000</v>
      </c>
      <c r="AA47" s="29">
        <v>1</v>
      </c>
      <c r="AB47" s="408">
        <v>44207</v>
      </c>
      <c r="AC47" s="408">
        <v>44249</v>
      </c>
      <c r="AD47" s="29">
        <v>280000</v>
      </c>
      <c r="AE47" s="29">
        <v>4</v>
      </c>
      <c r="AF47" s="408">
        <v>44221</v>
      </c>
      <c r="AG47" s="408">
        <v>44280</v>
      </c>
      <c r="AH47" s="29"/>
      <c r="AI47" s="29"/>
      <c r="AJ47" s="408"/>
      <c r="AK47" s="29"/>
      <c r="AL47" s="29"/>
      <c r="AM47" s="29"/>
      <c r="AN47" s="408"/>
      <c r="AO47" s="89"/>
      <c r="AP47" s="29"/>
      <c r="AQ47" s="29"/>
      <c r="AR47" s="408"/>
      <c r="AS47" s="89"/>
      <c r="AT47" s="37">
        <f t="shared" si="0"/>
        <v>281000</v>
      </c>
      <c r="AU47" s="38">
        <f t="shared" si="1"/>
        <v>281000</v>
      </c>
    </row>
    <row r="48" spans="2:47" s="26" customFormat="1" ht="22.5" x14ac:dyDescent="0.25">
      <c r="B48" s="27">
        <f t="shared" si="3"/>
        <v>33</v>
      </c>
      <c r="C48" s="27" t="s">
        <v>43</v>
      </c>
      <c r="D48" s="28">
        <v>30124763</v>
      </c>
      <c r="E48" s="29" t="s">
        <v>1820</v>
      </c>
      <c r="F48" s="29" t="s">
        <v>54</v>
      </c>
      <c r="G48" s="30" t="s">
        <v>1761</v>
      </c>
      <c r="H48" s="29" t="s">
        <v>1767</v>
      </c>
      <c r="I48" s="29" t="s">
        <v>1763</v>
      </c>
      <c r="J48" s="29">
        <v>85904</v>
      </c>
      <c r="K48" s="29"/>
      <c r="L48" s="29"/>
      <c r="M48" s="31">
        <v>1119.8800000000001</v>
      </c>
      <c r="N48" s="31">
        <v>6394.3379999999997</v>
      </c>
      <c r="O48" s="31">
        <v>0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si="2"/>
        <v>7514.2179999999998</v>
      </c>
      <c r="Z48" s="29">
        <v>85291</v>
      </c>
      <c r="AA48" s="29">
        <v>1</v>
      </c>
      <c r="AB48" s="408">
        <v>44207</v>
      </c>
      <c r="AC48" s="408">
        <v>44249</v>
      </c>
      <c r="AD48" s="29"/>
      <c r="AE48" s="29"/>
      <c r="AF48" s="408"/>
      <c r="AG48" s="29"/>
      <c r="AH48" s="29"/>
      <c r="AI48" s="29"/>
      <c r="AJ48" s="408"/>
      <c r="AK48" s="29"/>
      <c r="AL48" s="29"/>
      <c r="AM48" s="29"/>
      <c r="AN48" s="408"/>
      <c r="AO48" s="89"/>
      <c r="AP48" s="29"/>
      <c r="AQ48" s="29"/>
      <c r="AR48" s="408"/>
      <c r="AS48" s="89"/>
      <c r="AT48" s="37">
        <f t="shared" si="0"/>
        <v>85291</v>
      </c>
      <c r="AU48" s="38">
        <f t="shared" si="1"/>
        <v>77776.782000000007</v>
      </c>
    </row>
    <row r="49" spans="2:47" s="26" customFormat="1" ht="22.5" x14ac:dyDescent="0.25">
      <c r="B49" s="27">
        <f t="shared" si="3"/>
        <v>34</v>
      </c>
      <c r="C49" s="27" t="s">
        <v>39</v>
      </c>
      <c r="D49" s="28">
        <v>30127203</v>
      </c>
      <c r="E49" s="29" t="s">
        <v>1821</v>
      </c>
      <c r="F49" s="29" t="s">
        <v>54</v>
      </c>
      <c r="G49" s="30" t="s">
        <v>1761</v>
      </c>
      <c r="H49" s="29" t="s">
        <v>1781</v>
      </c>
      <c r="I49" s="29" t="s">
        <v>1763</v>
      </c>
      <c r="J49" s="29">
        <v>444470</v>
      </c>
      <c r="K49" s="29"/>
      <c r="L49" s="29"/>
      <c r="M49" s="31">
        <v>254596.448</v>
      </c>
      <c r="N49" s="31">
        <v>0</v>
      </c>
      <c r="O49" s="31">
        <v>0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2"/>
        <v>254596.448</v>
      </c>
      <c r="Z49" s="29">
        <v>444470</v>
      </c>
      <c r="AA49" s="29">
        <v>4</v>
      </c>
      <c r="AB49" s="408">
        <v>44221</v>
      </c>
      <c r="AC49" s="408">
        <v>44280</v>
      </c>
      <c r="AD49" s="29"/>
      <c r="AE49" s="29"/>
      <c r="AF49" s="408"/>
      <c r="AG49" s="29"/>
      <c r="AH49" s="29"/>
      <c r="AI49" s="29"/>
      <c r="AJ49" s="408"/>
      <c r="AK49" s="29"/>
      <c r="AL49" s="29"/>
      <c r="AM49" s="29"/>
      <c r="AN49" s="408"/>
      <c r="AO49" s="89"/>
      <c r="AP49" s="29"/>
      <c r="AQ49" s="29"/>
      <c r="AR49" s="408"/>
      <c r="AS49" s="89"/>
      <c r="AT49" s="37">
        <f t="shared" si="0"/>
        <v>444470</v>
      </c>
      <c r="AU49" s="38">
        <f t="shared" si="1"/>
        <v>189873.552</v>
      </c>
    </row>
    <row r="50" spans="2:47" s="26" customFormat="1" ht="22.5" x14ac:dyDescent="0.25">
      <c r="B50" s="27">
        <f t="shared" si="3"/>
        <v>35</v>
      </c>
      <c r="C50" s="27" t="s">
        <v>39</v>
      </c>
      <c r="D50" s="28">
        <v>30128150</v>
      </c>
      <c r="E50" s="29" t="s">
        <v>1822</v>
      </c>
      <c r="F50" s="29" t="s">
        <v>54</v>
      </c>
      <c r="G50" s="30" t="s">
        <v>1761</v>
      </c>
      <c r="H50" s="29" t="s">
        <v>1777</v>
      </c>
      <c r="I50" s="29" t="s">
        <v>1763</v>
      </c>
      <c r="J50" s="29">
        <v>50834</v>
      </c>
      <c r="K50" s="29"/>
      <c r="L50" s="29"/>
      <c r="M50" s="31">
        <v>0</v>
      </c>
      <c r="N50" s="31">
        <v>0</v>
      </c>
      <c r="O50" s="31">
        <v>0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2"/>
        <v>0</v>
      </c>
      <c r="Z50" s="29">
        <v>1000</v>
      </c>
      <c r="AA50" s="29">
        <v>1</v>
      </c>
      <c r="AB50" s="408">
        <v>44207</v>
      </c>
      <c r="AC50" s="408">
        <v>44249</v>
      </c>
      <c r="AD50" s="29"/>
      <c r="AE50" s="29"/>
      <c r="AF50" s="408"/>
      <c r="AG50" s="29"/>
      <c r="AH50" s="29"/>
      <c r="AI50" s="29"/>
      <c r="AJ50" s="408"/>
      <c r="AK50" s="29"/>
      <c r="AL50" s="29"/>
      <c r="AM50" s="29"/>
      <c r="AN50" s="408"/>
      <c r="AO50" s="89"/>
      <c r="AP50" s="29"/>
      <c r="AQ50" s="29"/>
      <c r="AR50" s="408"/>
      <c r="AS50" s="89"/>
      <c r="AT50" s="37">
        <f t="shared" si="0"/>
        <v>1000</v>
      </c>
      <c r="AU50" s="38">
        <f t="shared" si="1"/>
        <v>1000</v>
      </c>
    </row>
    <row r="51" spans="2:47" s="26" customFormat="1" ht="45" x14ac:dyDescent="0.25">
      <c r="B51" s="27">
        <f t="shared" si="3"/>
        <v>36</v>
      </c>
      <c r="C51" s="27" t="s">
        <v>39</v>
      </c>
      <c r="D51" s="28">
        <v>30133749</v>
      </c>
      <c r="E51" s="29" t="s">
        <v>1823</v>
      </c>
      <c r="F51" s="29" t="s">
        <v>54</v>
      </c>
      <c r="G51" s="30" t="s">
        <v>1761</v>
      </c>
      <c r="H51" s="29" t="s">
        <v>1824</v>
      </c>
      <c r="I51" s="29" t="s">
        <v>1763</v>
      </c>
      <c r="J51" s="29">
        <v>748741</v>
      </c>
      <c r="K51" s="29"/>
      <c r="L51" s="29"/>
      <c r="M51" s="31">
        <v>0</v>
      </c>
      <c r="N51" s="31">
        <v>0</v>
      </c>
      <c r="O51" s="31">
        <v>0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2"/>
        <v>0</v>
      </c>
      <c r="Z51" s="29">
        <v>1000</v>
      </c>
      <c r="AA51" s="29">
        <v>1</v>
      </c>
      <c r="AB51" s="408">
        <v>44207</v>
      </c>
      <c r="AC51" s="408">
        <v>44249</v>
      </c>
      <c r="AD51" s="29"/>
      <c r="AE51" s="29"/>
      <c r="AF51" s="408"/>
      <c r="AG51" s="29"/>
      <c r="AH51" s="29"/>
      <c r="AI51" s="29"/>
      <c r="AJ51" s="408"/>
      <c r="AK51" s="29"/>
      <c r="AL51" s="29"/>
      <c r="AM51" s="29"/>
      <c r="AN51" s="408"/>
      <c r="AO51" s="89"/>
      <c r="AP51" s="29"/>
      <c r="AQ51" s="29"/>
      <c r="AR51" s="408"/>
      <c r="AS51" s="89"/>
      <c r="AT51" s="37">
        <f t="shared" si="0"/>
        <v>1000</v>
      </c>
      <c r="AU51" s="38">
        <f t="shared" si="1"/>
        <v>1000</v>
      </c>
    </row>
    <row r="52" spans="2:47" s="26" customFormat="1" ht="45" x14ac:dyDescent="0.25">
      <c r="B52" s="27">
        <f t="shared" si="3"/>
        <v>37</v>
      </c>
      <c r="C52" s="27" t="s">
        <v>39</v>
      </c>
      <c r="D52" s="28">
        <v>30133832</v>
      </c>
      <c r="E52" s="29" t="s">
        <v>1825</v>
      </c>
      <c r="F52" s="29" t="s">
        <v>54</v>
      </c>
      <c r="G52" s="30" t="s">
        <v>1761</v>
      </c>
      <c r="H52" s="29" t="s">
        <v>1824</v>
      </c>
      <c r="I52" s="29" t="s">
        <v>1808</v>
      </c>
      <c r="J52" s="29">
        <v>94721</v>
      </c>
      <c r="K52" s="29"/>
      <c r="L52" s="29"/>
      <c r="M52" s="31">
        <v>0</v>
      </c>
      <c r="N52" s="31">
        <v>0</v>
      </c>
      <c r="O52" s="31">
        <v>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2"/>
        <v>0</v>
      </c>
      <c r="Z52" s="29">
        <v>1000</v>
      </c>
      <c r="AA52" s="29">
        <v>1</v>
      </c>
      <c r="AB52" s="408">
        <v>44207</v>
      </c>
      <c r="AC52" s="408">
        <v>44249</v>
      </c>
      <c r="AD52" s="29"/>
      <c r="AE52" s="29"/>
      <c r="AF52" s="408"/>
      <c r="AG52" s="29"/>
      <c r="AH52" s="29"/>
      <c r="AI52" s="29"/>
      <c r="AJ52" s="408"/>
      <c r="AK52" s="29"/>
      <c r="AL52" s="29"/>
      <c r="AM52" s="29"/>
      <c r="AN52" s="408"/>
      <c r="AO52" s="89"/>
      <c r="AP52" s="29"/>
      <c r="AQ52" s="29"/>
      <c r="AR52" s="408"/>
      <c r="AS52" s="89"/>
      <c r="AT52" s="37">
        <f t="shared" si="0"/>
        <v>1000</v>
      </c>
      <c r="AU52" s="38">
        <f t="shared" si="1"/>
        <v>1000</v>
      </c>
    </row>
    <row r="53" spans="2:47" s="26" customFormat="1" ht="22.5" x14ac:dyDescent="0.25">
      <c r="B53" s="27">
        <f t="shared" si="3"/>
        <v>38</v>
      </c>
      <c r="C53" s="27" t="s">
        <v>39</v>
      </c>
      <c r="D53" s="28">
        <v>30136379</v>
      </c>
      <c r="E53" s="29" t="s">
        <v>1826</v>
      </c>
      <c r="F53" s="29" t="s">
        <v>54</v>
      </c>
      <c r="G53" s="30" t="s">
        <v>1761</v>
      </c>
      <c r="H53" s="29" t="s">
        <v>1806</v>
      </c>
      <c r="I53" s="29" t="s">
        <v>1763</v>
      </c>
      <c r="J53" s="29">
        <v>732999</v>
      </c>
      <c r="K53" s="29"/>
      <c r="L53" s="29"/>
      <c r="M53" s="31">
        <v>0</v>
      </c>
      <c r="N53" s="31">
        <v>0</v>
      </c>
      <c r="O53" s="31"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2"/>
        <v>0</v>
      </c>
      <c r="Z53" s="29">
        <v>552383</v>
      </c>
      <c r="AA53" s="29">
        <v>4</v>
      </c>
      <c r="AB53" s="408">
        <v>44221</v>
      </c>
      <c r="AC53" s="408">
        <v>44280</v>
      </c>
      <c r="AD53" s="29"/>
      <c r="AE53" s="29"/>
      <c r="AF53" s="408"/>
      <c r="AG53" s="29"/>
      <c r="AH53" s="29"/>
      <c r="AI53" s="29"/>
      <c r="AJ53" s="408"/>
      <c r="AK53" s="29"/>
      <c r="AL53" s="29"/>
      <c r="AM53" s="29"/>
      <c r="AN53" s="408"/>
      <c r="AO53" s="89"/>
      <c r="AP53" s="29"/>
      <c r="AQ53" s="29"/>
      <c r="AR53" s="408"/>
      <c r="AS53" s="89"/>
      <c r="AT53" s="37">
        <f t="shared" si="0"/>
        <v>552383</v>
      </c>
      <c r="AU53" s="38">
        <f t="shared" si="1"/>
        <v>552383</v>
      </c>
    </row>
    <row r="54" spans="2:47" s="26" customFormat="1" ht="22.5" x14ac:dyDescent="0.25">
      <c r="B54" s="27">
        <f t="shared" si="3"/>
        <v>39</v>
      </c>
      <c r="C54" s="27" t="s">
        <v>39</v>
      </c>
      <c r="D54" s="28">
        <v>30173824</v>
      </c>
      <c r="E54" s="29" t="s">
        <v>1827</v>
      </c>
      <c r="F54" s="29" t="s">
        <v>54</v>
      </c>
      <c r="G54" s="30" t="s">
        <v>1761</v>
      </c>
      <c r="H54" s="29" t="s">
        <v>1828</v>
      </c>
      <c r="I54" s="29" t="s">
        <v>1763</v>
      </c>
      <c r="J54" s="29">
        <v>327814</v>
      </c>
      <c r="K54" s="29"/>
      <c r="L54" s="29"/>
      <c r="M54" s="31">
        <v>256842.98</v>
      </c>
      <c r="N54" s="31">
        <v>3515</v>
      </c>
      <c r="O54" s="31"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2"/>
        <v>260357.98</v>
      </c>
      <c r="Z54" s="29">
        <v>318148</v>
      </c>
      <c r="AA54" s="29">
        <v>4</v>
      </c>
      <c r="AB54" s="408">
        <v>44221</v>
      </c>
      <c r="AC54" s="408">
        <v>44280</v>
      </c>
      <c r="AD54" s="29"/>
      <c r="AE54" s="29"/>
      <c r="AF54" s="408"/>
      <c r="AG54" s="29"/>
      <c r="AH54" s="29"/>
      <c r="AI54" s="29"/>
      <c r="AJ54" s="408"/>
      <c r="AK54" s="29"/>
      <c r="AL54" s="29"/>
      <c r="AM54" s="29"/>
      <c r="AN54" s="408"/>
      <c r="AO54" s="89"/>
      <c r="AP54" s="29"/>
      <c r="AQ54" s="29"/>
      <c r="AR54" s="408"/>
      <c r="AS54" s="89"/>
      <c r="AT54" s="37">
        <f t="shared" si="0"/>
        <v>318148</v>
      </c>
      <c r="AU54" s="38">
        <f t="shared" si="1"/>
        <v>57790.01999999999</v>
      </c>
    </row>
    <row r="55" spans="2:47" s="26" customFormat="1" ht="33.75" x14ac:dyDescent="0.25">
      <c r="B55" s="27">
        <f t="shared" si="3"/>
        <v>40</v>
      </c>
      <c r="C55" s="27" t="s">
        <v>39</v>
      </c>
      <c r="D55" s="28">
        <v>30217374</v>
      </c>
      <c r="E55" s="29" t="s">
        <v>1829</v>
      </c>
      <c r="F55" s="29" t="s">
        <v>54</v>
      </c>
      <c r="G55" s="30" t="s">
        <v>1761</v>
      </c>
      <c r="H55" s="29" t="s">
        <v>1830</v>
      </c>
      <c r="I55" s="29" t="s">
        <v>1763</v>
      </c>
      <c r="J55" s="29">
        <v>6295</v>
      </c>
      <c r="K55" s="29"/>
      <c r="L55" s="29"/>
      <c r="M55" s="31">
        <v>0</v>
      </c>
      <c r="N55" s="31">
        <v>0</v>
      </c>
      <c r="O55" s="31">
        <v>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2"/>
        <v>0</v>
      </c>
      <c r="Z55" s="29">
        <v>1000</v>
      </c>
      <c r="AA55" s="29">
        <v>1</v>
      </c>
      <c r="AB55" s="408">
        <v>44207</v>
      </c>
      <c r="AC55" s="408">
        <v>44249</v>
      </c>
      <c r="AD55" s="29"/>
      <c r="AE55" s="29"/>
      <c r="AF55" s="408"/>
      <c r="AG55" s="29"/>
      <c r="AH55" s="29"/>
      <c r="AI55" s="29"/>
      <c r="AJ55" s="408"/>
      <c r="AK55" s="29"/>
      <c r="AL55" s="29"/>
      <c r="AM55" s="29"/>
      <c r="AN55" s="408"/>
      <c r="AO55" s="89"/>
      <c r="AP55" s="29"/>
      <c r="AQ55" s="29"/>
      <c r="AR55" s="408"/>
      <c r="AS55" s="89"/>
      <c r="AT55" s="37">
        <f t="shared" si="0"/>
        <v>1000</v>
      </c>
      <c r="AU55" s="38">
        <f t="shared" si="1"/>
        <v>1000</v>
      </c>
    </row>
    <row r="56" spans="2:47" s="26" customFormat="1" ht="22.5" x14ac:dyDescent="0.25">
      <c r="B56" s="27">
        <f t="shared" si="3"/>
        <v>41</v>
      </c>
      <c r="C56" s="27" t="s">
        <v>39</v>
      </c>
      <c r="D56" s="28">
        <v>30264278</v>
      </c>
      <c r="E56" s="29" t="s">
        <v>1831</v>
      </c>
      <c r="F56" s="29" t="s">
        <v>60</v>
      </c>
      <c r="G56" s="30" t="s">
        <v>1761</v>
      </c>
      <c r="H56" s="29" t="s">
        <v>1832</v>
      </c>
      <c r="I56" s="29" t="s">
        <v>1763</v>
      </c>
      <c r="J56" s="29">
        <v>36900</v>
      </c>
      <c r="K56" s="29"/>
      <c r="L56" s="29"/>
      <c r="M56" s="31">
        <v>24600</v>
      </c>
      <c r="N56" s="31">
        <v>0</v>
      </c>
      <c r="O56" s="31"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2"/>
        <v>24600</v>
      </c>
      <c r="Z56" s="29">
        <v>36900</v>
      </c>
      <c r="AA56" s="29">
        <v>4</v>
      </c>
      <c r="AB56" s="408">
        <v>44221</v>
      </c>
      <c r="AC56" s="408">
        <v>44280</v>
      </c>
      <c r="AD56" s="29"/>
      <c r="AE56" s="29"/>
      <c r="AF56" s="408"/>
      <c r="AG56" s="29"/>
      <c r="AH56" s="29"/>
      <c r="AI56" s="29"/>
      <c r="AJ56" s="408"/>
      <c r="AK56" s="29"/>
      <c r="AL56" s="29"/>
      <c r="AM56" s="29"/>
      <c r="AN56" s="408"/>
      <c r="AO56" s="89"/>
      <c r="AP56" s="29"/>
      <c r="AQ56" s="29"/>
      <c r="AR56" s="408"/>
      <c r="AS56" s="89"/>
      <c r="AT56" s="37">
        <f t="shared" si="0"/>
        <v>36900</v>
      </c>
      <c r="AU56" s="38">
        <f t="shared" si="1"/>
        <v>12300</v>
      </c>
    </row>
    <row r="57" spans="2:47" s="26" customFormat="1" ht="22.5" x14ac:dyDescent="0.25">
      <c r="B57" s="27">
        <f t="shared" si="3"/>
        <v>42</v>
      </c>
      <c r="C57" s="27" t="s">
        <v>39</v>
      </c>
      <c r="D57" s="28">
        <v>30274325</v>
      </c>
      <c r="E57" s="29" t="s">
        <v>1833</v>
      </c>
      <c r="F57" s="29" t="s">
        <v>54</v>
      </c>
      <c r="G57" s="30" t="s">
        <v>1761</v>
      </c>
      <c r="H57" s="29" t="s">
        <v>1834</v>
      </c>
      <c r="I57" s="29" t="s">
        <v>1763</v>
      </c>
      <c r="J57" s="29">
        <v>1758535</v>
      </c>
      <c r="K57" s="29"/>
      <c r="L57" s="29"/>
      <c r="M57" s="31">
        <v>176088.49799999999</v>
      </c>
      <c r="N57" s="31">
        <v>52140.61</v>
      </c>
      <c r="O57" s="31">
        <v>0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2"/>
        <v>228229.10800000001</v>
      </c>
      <c r="Z57" s="29">
        <v>400000</v>
      </c>
      <c r="AA57" s="29">
        <v>4</v>
      </c>
      <c r="AB57" s="408">
        <v>44221</v>
      </c>
      <c r="AC57" s="408">
        <v>44280</v>
      </c>
      <c r="AD57" s="29"/>
      <c r="AE57" s="29"/>
      <c r="AF57" s="408"/>
      <c r="AG57" s="29"/>
      <c r="AH57" s="29"/>
      <c r="AI57" s="29"/>
      <c r="AJ57" s="408"/>
      <c r="AK57" s="29"/>
      <c r="AL57" s="29"/>
      <c r="AM57" s="29"/>
      <c r="AN57" s="408"/>
      <c r="AO57" s="89"/>
      <c r="AP57" s="29"/>
      <c r="AQ57" s="29"/>
      <c r="AR57" s="408"/>
      <c r="AS57" s="89"/>
      <c r="AT57" s="37">
        <f t="shared" si="0"/>
        <v>400000</v>
      </c>
      <c r="AU57" s="38">
        <f t="shared" si="1"/>
        <v>171770.89199999999</v>
      </c>
    </row>
    <row r="58" spans="2:47" s="26" customFormat="1" ht="22.5" x14ac:dyDescent="0.25">
      <c r="B58" s="27">
        <f t="shared" si="3"/>
        <v>43</v>
      </c>
      <c r="C58" s="27" t="s">
        <v>39</v>
      </c>
      <c r="D58" s="28">
        <v>30312723</v>
      </c>
      <c r="E58" s="29" t="s">
        <v>1835</v>
      </c>
      <c r="F58" s="29" t="s">
        <v>54</v>
      </c>
      <c r="G58" s="30" t="s">
        <v>1761</v>
      </c>
      <c r="H58" s="29" t="s">
        <v>1836</v>
      </c>
      <c r="I58" s="29" t="s">
        <v>1763</v>
      </c>
      <c r="J58" s="29">
        <v>9862</v>
      </c>
      <c r="K58" s="29"/>
      <c r="L58" s="29"/>
      <c r="M58" s="31">
        <v>9548.4689999999991</v>
      </c>
      <c r="N58" s="31">
        <v>0</v>
      </c>
      <c r="O58" s="31">
        <v>0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2"/>
        <v>9548.4689999999991</v>
      </c>
      <c r="Z58" s="29">
        <v>9549</v>
      </c>
      <c r="AA58" s="29">
        <v>4</v>
      </c>
      <c r="AB58" s="408">
        <v>44221</v>
      </c>
      <c r="AC58" s="408">
        <v>44280</v>
      </c>
      <c r="AD58" s="29"/>
      <c r="AE58" s="29"/>
      <c r="AF58" s="408"/>
      <c r="AG58" s="29"/>
      <c r="AH58" s="29"/>
      <c r="AI58" s="29"/>
      <c r="AJ58" s="408"/>
      <c r="AK58" s="29"/>
      <c r="AL58" s="29"/>
      <c r="AM58" s="29"/>
      <c r="AN58" s="408"/>
      <c r="AO58" s="89"/>
      <c r="AP58" s="29"/>
      <c r="AQ58" s="29"/>
      <c r="AR58" s="408"/>
      <c r="AS58" s="89"/>
      <c r="AT58" s="37">
        <f t="shared" si="0"/>
        <v>9549</v>
      </c>
      <c r="AU58" s="38">
        <f t="shared" si="1"/>
        <v>0.53100000000085856</v>
      </c>
    </row>
    <row r="59" spans="2:47" s="26" customFormat="1" ht="22.5" x14ac:dyDescent="0.25">
      <c r="B59" s="27">
        <f t="shared" si="3"/>
        <v>44</v>
      </c>
      <c r="C59" s="27" t="s">
        <v>39</v>
      </c>
      <c r="D59" s="28">
        <v>30356525</v>
      </c>
      <c r="E59" s="29" t="s">
        <v>1837</v>
      </c>
      <c r="F59" s="29" t="s">
        <v>54</v>
      </c>
      <c r="G59" s="30" t="s">
        <v>1761</v>
      </c>
      <c r="H59" s="29" t="s">
        <v>1834</v>
      </c>
      <c r="I59" s="29" t="s">
        <v>1763</v>
      </c>
      <c r="J59" s="29">
        <v>321411</v>
      </c>
      <c r="K59" s="29"/>
      <c r="L59" s="29"/>
      <c r="M59" s="31">
        <v>25491.381000000001</v>
      </c>
      <c r="N59" s="31">
        <v>42453.258000000002</v>
      </c>
      <c r="O59" s="31">
        <v>52999.332000000002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2"/>
        <v>120943.97099999999</v>
      </c>
      <c r="Z59" s="29">
        <v>150000</v>
      </c>
      <c r="AA59" s="29">
        <v>4</v>
      </c>
      <c r="AB59" s="408">
        <v>44221</v>
      </c>
      <c r="AC59" s="408">
        <v>44280</v>
      </c>
      <c r="AD59" s="29"/>
      <c r="AE59" s="29"/>
      <c r="AF59" s="408"/>
      <c r="AG59" s="29"/>
      <c r="AH59" s="29"/>
      <c r="AI59" s="29"/>
      <c r="AJ59" s="408"/>
      <c r="AK59" s="29"/>
      <c r="AL59" s="29"/>
      <c r="AM59" s="29"/>
      <c r="AN59" s="408"/>
      <c r="AO59" s="89"/>
      <c r="AP59" s="29"/>
      <c r="AQ59" s="29"/>
      <c r="AR59" s="408"/>
      <c r="AS59" s="89"/>
      <c r="AT59" s="37">
        <f t="shared" si="0"/>
        <v>150000</v>
      </c>
      <c r="AU59" s="38">
        <f t="shared" si="1"/>
        <v>29056.02900000001</v>
      </c>
    </row>
    <row r="60" spans="2:47" s="26" customFormat="1" ht="22.5" x14ac:dyDescent="0.25">
      <c r="B60" s="27">
        <f t="shared" si="3"/>
        <v>45</v>
      </c>
      <c r="C60" s="27" t="s">
        <v>39</v>
      </c>
      <c r="D60" s="28">
        <v>30357332</v>
      </c>
      <c r="E60" s="29" t="s">
        <v>1838</v>
      </c>
      <c r="F60" s="29" t="s">
        <v>54</v>
      </c>
      <c r="G60" s="30" t="s">
        <v>1761</v>
      </c>
      <c r="H60" s="29" t="s">
        <v>1769</v>
      </c>
      <c r="I60" s="29" t="s">
        <v>1763</v>
      </c>
      <c r="J60" s="29">
        <v>98684</v>
      </c>
      <c r="K60" s="29"/>
      <c r="L60" s="29"/>
      <c r="M60" s="31">
        <v>60836.546999999999</v>
      </c>
      <c r="N60" s="31">
        <v>0</v>
      </c>
      <c r="O60" s="31">
        <v>34806.428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2"/>
        <v>95642.975000000006</v>
      </c>
      <c r="Z60" s="29">
        <v>98684</v>
      </c>
      <c r="AA60" s="29">
        <v>4</v>
      </c>
      <c r="AB60" s="408">
        <v>44221</v>
      </c>
      <c r="AC60" s="408">
        <v>44280</v>
      </c>
      <c r="AD60" s="29"/>
      <c r="AE60" s="29"/>
      <c r="AF60" s="408"/>
      <c r="AG60" s="29"/>
      <c r="AH60" s="29"/>
      <c r="AI60" s="29"/>
      <c r="AJ60" s="408"/>
      <c r="AK60" s="29"/>
      <c r="AL60" s="29"/>
      <c r="AM60" s="29"/>
      <c r="AN60" s="408"/>
      <c r="AO60" s="89"/>
      <c r="AP60" s="29"/>
      <c r="AQ60" s="29"/>
      <c r="AR60" s="408"/>
      <c r="AS60" s="89"/>
      <c r="AT60" s="37">
        <f t="shared" si="0"/>
        <v>98684</v>
      </c>
      <c r="AU60" s="38">
        <f t="shared" si="1"/>
        <v>3041.0249999999942</v>
      </c>
    </row>
    <row r="61" spans="2:47" s="26" customFormat="1" ht="22.5" x14ac:dyDescent="0.25">
      <c r="B61" s="27">
        <f t="shared" si="3"/>
        <v>46</v>
      </c>
      <c r="C61" s="27" t="s">
        <v>39</v>
      </c>
      <c r="D61" s="28">
        <v>30362424</v>
      </c>
      <c r="E61" s="29" t="s">
        <v>1839</v>
      </c>
      <c r="F61" s="29" t="s">
        <v>54</v>
      </c>
      <c r="G61" s="30" t="s">
        <v>1761</v>
      </c>
      <c r="H61" s="29" t="s">
        <v>1811</v>
      </c>
      <c r="I61" s="29" t="s">
        <v>1808</v>
      </c>
      <c r="J61" s="29">
        <v>102</v>
      </c>
      <c r="K61" s="29"/>
      <c r="L61" s="29"/>
      <c r="M61" s="31">
        <v>0</v>
      </c>
      <c r="N61" s="31">
        <v>0</v>
      </c>
      <c r="O61" s="31">
        <v>0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2"/>
        <v>0</v>
      </c>
      <c r="Z61" s="29">
        <v>102</v>
      </c>
      <c r="AA61" s="29">
        <v>1</v>
      </c>
      <c r="AB61" s="408">
        <v>44207</v>
      </c>
      <c r="AC61" s="408">
        <v>44249</v>
      </c>
      <c r="AD61" s="29"/>
      <c r="AE61" s="29"/>
      <c r="AF61" s="408"/>
      <c r="AG61" s="29"/>
      <c r="AH61" s="29"/>
      <c r="AI61" s="29"/>
      <c r="AJ61" s="408"/>
      <c r="AK61" s="29"/>
      <c r="AL61" s="29"/>
      <c r="AM61" s="29"/>
      <c r="AN61" s="408"/>
      <c r="AO61" s="89"/>
      <c r="AP61" s="29"/>
      <c r="AQ61" s="29"/>
      <c r="AR61" s="408"/>
      <c r="AS61" s="89"/>
      <c r="AT61" s="37">
        <f t="shared" si="0"/>
        <v>102</v>
      </c>
      <c r="AU61" s="38">
        <f t="shared" si="1"/>
        <v>102</v>
      </c>
    </row>
    <row r="62" spans="2:47" s="26" customFormat="1" ht="22.5" x14ac:dyDescent="0.25">
      <c r="B62" s="27">
        <f t="shared" si="3"/>
        <v>47</v>
      </c>
      <c r="C62" s="27" t="s">
        <v>39</v>
      </c>
      <c r="D62" s="28">
        <v>30367477</v>
      </c>
      <c r="E62" s="29" t="s">
        <v>1840</v>
      </c>
      <c r="F62" s="29" t="s">
        <v>54</v>
      </c>
      <c r="G62" s="30" t="s">
        <v>1761</v>
      </c>
      <c r="H62" s="29" t="s">
        <v>1804</v>
      </c>
      <c r="I62" s="29" t="s">
        <v>1808</v>
      </c>
      <c r="J62" s="29">
        <v>157410</v>
      </c>
      <c r="K62" s="29"/>
      <c r="L62" s="29"/>
      <c r="M62" s="31">
        <v>0</v>
      </c>
      <c r="N62" s="31">
        <v>0</v>
      </c>
      <c r="O62" s="31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2"/>
        <v>0</v>
      </c>
      <c r="Z62" s="29">
        <v>1000</v>
      </c>
      <c r="AA62" s="29">
        <v>1</v>
      </c>
      <c r="AB62" s="408">
        <v>44207</v>
      </c>
      <c r="AC62" s="408">
        <v>44249</v>
      </c>
      <c r="AD62" s="29"/>
      <c r="AE62" s="29"/>
      <c r="AF62" s="408"/>
      <c r="AG62" s="29"/>
      <c r="AH62" s="29"/>
      <c r="AI62" s="29"/>
      <c r="AJ62" s="408"/>
      <c r="AK62" s="29"/>
      <c r="AL62" s="29"/>
      <c r="AM62" s="29"/>
      <c r="AN62" s="408"/>
      <c r="AO62" s="89"/>
      <c r="AP62" s="29"/>
      <c r="AQ62" s="29"/>
      <c r="AR62" s="408"/>
      <c r="AS62" s="89"/>
      <c r="AT62" s="37">
        <f t="shared" si="0"/>
        <v>1000</v>
      </c>
      <c r="AU62" s="38">
        <f t="shared" si="1"/>
        <v>1000</v>
      </c>
    </row>
    <row r="63" spans="2:47" s="26" customFormat="1" ht="22.5" x14ac:dyDescent="0.25">
      <c r="B63" s="27">
        <f t="shared" si="3"/>
        <v>48</v>
      </c>
      <c r="C63" s="27" t="s">
        <v>39</v>
      </c>
      <c r="D63" s="28">
        <v>30367573</v>
      </c>
      <c r="E63" s="29" t="s">
        <v>1841</v>
      </c>
      <c r="F63" s="29" t="s">
        <v>54</v>
      </c>
      <c r="G63" s="30" t="s">
        <v>1761</v>
      </c>
      <c r="H63" s="29" t="s">
        <v>1804</v>
      </c>
      <c r="I63" s="29" t="s">
        <v>1763</v>
      </c>
      <c r="J63" s="29">
        <v>535002</v>
      </c>
      <c r="K63" s="29"/>
      <c r="L63" s="29"/>
      <c r="M63" s="31">
        <v>0</v>
      </c>
      <c r="N63" s="31">
        <v>0</v>
      </c>
      <c r="O63" s="31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2"/>
        <v>0</v>
      </c>
      <c r="Z63" s="29">
        <v>1350</v>
      </c>
      <c r="AA63" s="29">
        <v>1</v>
      </c>
      <c r="AB63" s="408">
        <v>44207</v>
      </c>
      <c r="AC63" s="408">
        <v>44249</v>
      </c>
      <c r="AD63" s="29">
        <v>533480</v>
      </c>
      <c r="AE63" s="29">
        <v>4</v>
      </c>
      <c r="AF63" s="408">
        <v>44221</v>
      </c>
      <c r="AG63" s="408">
        <v>44280</v>
      </c>
      <c r="AH63" s="29"/>
      <c r="AI63" s="29"/>
      <c r="AJ63" s="408"/>
      <c r="AK63" s="29"/>
      <c r="AL63" s="29"/>
      <c r="AM63" s="29"/>
      <c r="AN63" s="408"/>
      <c r="AO63" s="89"/>
      <c r="AP63" s="29"/>
      <c r="AQ63" s="29"/>
      <c r="AR63" s="408"/>
      <c r="AS63" s="89"/>
      <c r="AT63" s="37">
        <f t="shared" si="0"/>
        <v>534830</v>
      </c>
      <c r="AU63" s="38">
        <f t="shared" si="1"/>
        <v>534830</v>
      </c>
    </row>
    <row r="64" spans="2:47" s="26" customFormat="1" ht="22.5" x14ac:dyDescent="0.25">
      <c r="B64" s="27">
        <f t="shared" si="3"/>
        <v>49</v>
      </c>
      <c r="C64" s="27" t="s">
        <v>39</v>
      </c>
      <c r="D64" s="28">
        <v>30388029</v>
      </c>
      <c r="E64" s="29" t="s">
        <v>1842</v>
      </c>
      <c r="F64" s="29" t="s">
        <v>54</v>
      </c>
      <c r="G64" s="30" t="s">
        <v>1761</v>
      </c>
      <c r="H64" s="29" t="s">
        <v>1843</v>
      </c>
      <c r="I64" s="29" t="s">
        <v>1763</v>
      </c>
      <c r="J64" s="29">
        <v>55089</v>
      </c>
      <c r="K64" s="29"/>
      <c r="L64" s="29"/>
      <c r="M64" s="31">
        <v>43860.648999999998</v>
      </c>
      <c r="N64" s="31">
        <v>0</v>
      </c>
      <c r="O64" s="31">
        <v>0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2"/>
        <v>43860.648999999998</v>
      </c>
      <c r="Z64" s="29">
        <v>43861</v>
      </c>
      <c r="AA64" s="29">
        <v>4</v>
      </c>
      <c r="AB64" s="408">
        <v>44221</v>
      </c>
      <c r="AC64" s="408">
        <v>44280</v>
      </c>
      <c r="AD64" s="29"/>
      <c r="AE64" s="29"/>
      <c r="AF64" s="408"/>
      <c r="AG64" s="29"/>
      <c r="AH64" s="29"/>
      <c r="AI64" s="29"/>
      <c r="AJ64" s="408"/>
      <c r="AK64" s="29"/>
      <c r="AL64" s="29"/>
      <c r="AM64" s="29"/>
      <c r="AN64" s="408"/>
      <c r="AO64" s="89"/>
      <c r="AP64" s="29"/>
      <c r="AQ64" s="29"/>
      <c r="AR64" s="408"/>
      <c r="AS64" s="89"/>
      <c r="AT64" s="37">
        <f t="shared" si="0"/>
        <v>43861</v>
      </c>
      <c r="AU64" s="38">
        <f t="shared" si="1"/>
        <v>0.35100000000238651</v>
      </c>
    </row>
    <row r="65" spans="2:47" s="26" customFormat="1" ht="22.5" x14ac:dyDescent="0.25">
      <c r="B65" s="27">
        <f t="shared" si="3"/>
        <v>50</v>
      </c>
      <c r="C65" s="27" t="s">
        <v>39</v>
      </c>
      <c r="D65" s="28">
        <v>30399923</v>
      </c>
      <c r="E65" s="29" t="s">
        <v>1844</v>
      </c>
      <c r="F65" s="29" t="s">
        <v>366</v>
      </c>
      <c r="G65" s="30" t="s">
        <v>1761</v>
      </c>
      <c r="H65" s="29" t="s">
        <v>1795</v>
      </c>
      <c r="I65" s="29" t="s">
        <v>1763</v>
      </c>
      <c r="J65" s="29">
        <v>399511</v>
      </c>
      <c r="K65" s="29"/>
      <c r="L65" s="29"/>
      <c r="M65" s="31">
        <v>0</v>
      </c>
      <c r="N65" s="31">
        <v>0</v>
      </c>
      <c r="O65" s="31">
        <v>0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2"/>
        <v>0</v>
      </c>
      <c r="Z65" s="29">
        <v>1000</v>
      </c>
      <c r="AA65" s="29">
        <v>1</v>
      </c>
      <c r="AB65" s="408">
        <v>44207</v>
      </c>
      <c r="AC65" s="408">
        <v>44249</v>
      </c>
      <c r="AD65" s="29"/>
      <c r="AE65" s="29"/>
      <c r="AF65" s="408"/>
      <c r="AG65" s="29"/>
      <c r="AH65" s="29"/>
      <c r="AI65" s="29"/>
      <c r="AJ65" s="408"/>
      <c r="AK65" s="29"/>
      <c r="AL65" s="29"/>
      <c r="AM65" s="29"/>
      <c r="AN65" s="408"/>
      <c r="AO65" s="89"/>
      <c r="AP65" s="29"/>
      <c r="AQ65" s="29"/>
      <c r="AR65" s="408"/>
      <c r="AS65" s="89"/>
      <c r="AT65" s="37">
        <f t="shared" si="0"/>
        <v>1000</v>
      </c>
      <c r="AU65" s="38">
        <f t="shared" si="1"/>
        <v>1000</v>
      </c>
    </row>
    <row r="66" spans="2:47" s="26" customFormat="1" ht="22.5" x14ac:dyDescent="0.25">
      <c r="B66" s="27">
        <f t="shared" si="3"/>
        <v>51</v>
      </c>
      <c r="C66" s="27" t="s">
        <v>39</v>
      </c>
      <c r="D66" s="28">
        <v>30402326</v>
      </c>
      <c r="E66" s="29" t="s">
        <v>1845</v>
      </c>
      <c r="F66" s="29" t="s">
        <v>54</v>
      </c>
      <c r="G66" s="30" t="s">
        <v>1761</v>
      </c>
      <c r="H66" s="29" t="s">
        <v>1843</v>
      </c>
      <c r="I66" s="29" t="s">
        <v>1763</v>
      </c>
      <c r="J66" s="29">
        <v>54535</v>
      </c>
      <c r="K66" s="29"/>
      <c r="L66" s="29"/>
      <c r="M66" s="31">
        <v>54534.275000000001</v>
      </c>
      <c r="N66" s="31">
        <v>0</v>
      </c>
      <c r="O66" s="31"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2"/>
        <v>54534.275000000001</v>
      </c>
      <c r="Z66" s="29">
        <v>54534</v>
      </c>
      <c r="AA66" s="29">
        <v>4</v>
      </c>
      <c r="AB66" s="408">
        <v>44221</v>
      </c>
      <c r="AC66" s="408">
        <v>44280</v>
      </c>
      <c r="AD66" s="29"/>
      <c r="AE66" s="29"/>
      <c r="AF66" s="408"/>
      <c r="AG66" s="29"/>
      <c r="AH66" s="29"/>
      <c r="AI66" s="29"/>
      <c r="AJ66" s="408"/>
      <c r="AK66" s="29"/>
      <c r="AL66" s="29"/>
      <c r="AM66" s="29"/>
      <c r="AN66" s="408"/>
      <c r="AO66" s="89"/>
      <c r="AP66" s="29"/>
      <c r="AQ66" s="29"/>
      <c r="AR66" s="408"/>
      <c r="AS66" s="89"/>
      <c r="AT66" s="37">
        <f t="shared" si="0"/>
        <v>54534</v>
      </c>
      <c r="AU66" s="38">
        <f t="shared" si="1"/>
        <v>-0.27500000000145519</v>
      </c>
    </row>
    <row r="67" spans="2:47" s="26" customFormat="1" ht="45" x14ac:dyDescent="0.25">
      <c r="B67" s="27">
        <f t="shared" si="3"/>
        <v>52</v>
      </c>
      <c r="C67" s="27" t="s">
        <v>39</v>
      </c>
      <c r="D67" s="28">
        <v>30407980</v>
      </c>
      <c r="E67" s="29" t="s">
        <v>1846</v>
      </c>
      <c r="F67" s="29" t="s">
        <v>54</v>
      </c>
      <c r="G67" s="30" t="s">
        <v>1761</v>
      </c>
      <c r="H67" s="29" t="s">
        <v>1771</v>
      </c>
      <c r="I67" s="29" t="s">
        <v>1763</v>
      </c>
      <c r="J67" s="29">
        <v>14823881</v>
      </c>
      <c r="K67" s="29"/>
      <c r="L67" s="29"/>
      <c r="M67" s="31">
        <v>0</v>
      </c>
      <c r="N67" s="31">
        <v>3365.2080000000001</v>
      </c>
      <c r="O67" s="31">
        <v>10067.624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2"/>
        <v>13432.832</v>
      </c>
      <c r="Z67" s="29">
        <v>1000</v>
      </c>
      <c r="AA67" s="29">
        <v>1</v>
      </c>
      <c r="AB67" s="408">
        <v>44207</v>
      </c>
      <c r="AC67" s="408">
        <v>44249</v>
      </c>
      <c r="AD67" s="29"/>
      <c r="AE67" s="29"/>
      <c r="AF67" s="408"/>
      <c r="AG67" s="29"/>
      <c r="AH67" s="29"/>
      <c r="AI67" s="29"/>
      <c r="AJ67" s="408"/>
      <c r="AK67" s="29"/>
      <c r="AL67" s="29"/>
      <c r="AM67" s="29"/>
      <c r="AN67" s="408"/>
      <c r="AO67" s="89"/>
      <c r="AP67" s="29"/>
      <c r="AQ67" s="29"/>
      <c r="AR67" s="408"/>
      <c r="AS67" s="89"/>
      <c r="AT67" s="37">
        <f t="shared" si="0"/>
        <v>1000</v>
      </c>
      <c r="AU67" s="38">
        <f t="shared" si="1"/>
        <v>-12432.832</v>
      </c>
    </row>
    <row r="68" spans="2:47" s="26" customFormat="1" ht="22.5" x14ac:dyDescent="0.25">
      <c r="B68" s="27">
        <f t="shared" si="3"/>
        <v>53</v>
      </c>
      <c r="C68" s="27" t="s">
        <v>39</v>
      </c>
      <c r="D68" s="28">
        <v>30413124</v>
      </c>
      <c r="E68" s="29" t="s">
        <v>1847</v>
      </c>
      <c r="F68" s="29" t="s">
        <v>54</v>
      </c>
      <c r="G68" s="30" t="s">
        <v>1761</v>
      </c>
      <c r="H68" s="29" t="s">
        <v>1848</v>
      </c>
      <c r="I68" s="29" t="s">
        <v>1763</v>
      </c>
      <c r="J68" s="29">
        <v>82933</v>
      </c>
      <c r="K68" s="29"/>
      <c r="L68" s="29"/>
      <c r="M68" s="31">
        <v>12940.674000000001</v>
      </c>
      <c r="N68" s="31">
        <v>0</v>
      </c>
      <c r="O68" s="31">
        <v>0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2"/>
        <v>12940.674000000001</v>
      </c>
      <c r="Z68" s="29">
        <v>73857</v>
      </c>
      <c r="AA68" s="29">
        <v>4</v>
      </c>
      <c r="AB68" s="408">
        <v>44221</v>
      </c>
      <c r="AC68" s="408">
        <v>44280</v>
      </c>
      <c r="AD68" s="29"/>
      <c r="AE68" s="29"/>
      <c r="AF68" s="408"/>
      <c r="AG68" s="29"/>
      <c r="AH68" s="29"/>
      <c r="AI68" s="29"/>
      <c r="AJ68" s="408"/>
      <c r="AK68" s="29"/>
      <c r="AL68" s="29"/>
      <c r="AM68" s="29"/>
      <c r="AN68" s="408"/>
      <c r="AO68" s="89"/>
      <c r="AP68" s="29"/>
      <c r="AQ68" s="29"/>
      <c r="AR68" s="408"/>
      <c r="AS68" s="89"/>
      <c r="AT68" s="37">
        <f t="shared" si="0"/>
        <v>73857</v>
      </c>
      <c r="AU68" s="38">
        <f t="shared" si="1"/>
        <v>60916.326000000001</v>
      </c>
    </row>
    <row r="69" spans="2:47" s="26" customFormat="1" ht="22.5" x14ac:dyDescent="0.25">
      <c r="B69" s="27">
        <f t="shared" si="3"/>
        <v>54</v>
      </c>
      <c r="C69" s="27" t="s">
        <v>39</v>
      </c>
      <c r="D69" s="28">
        <v>30418930</v>
      </c>
      <c r="E69" s="29" t="s">
        <v>1849</v>
      </c>
      <c r="F69" s="29" t="s">
        <v>54</v>
      </c>
      <c r="G69" s="30" t="s">
        <v>1761</v>
      </c>
      <c r="H69" s="29" t="s">
        <v>1791</v>
      </c>
      <c r="I69" s="29" t="s">
        <v>1763</v>
      </c>
      <c r="J69" s="29">
        <v>128177</v>
      </c>
      <c r="K69" s="29"/>
      <c r="L69" s="29"/>
      <c r="M69" s="31">
        <v>0</v>
      </c>
      <c r="N69" s="31">
        <v>0</v>
      </c>
      <c r="O69" s="31">
        <v>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2"/>
        <v>0</v>
      </c>
      <c r="Z69" s="29">
        <v>1000</v>
      </c>
      <c r="AA69" s="29">
        <v>1</v>
      </c>
      <c r="AB69" s="408">
        <v>44207</v>
      </c>
      <c r="AC69" s="408">
        <v>44249</v>
      </c>
      <c r="AD69" s="29"/>
      <c r="AE69" s="29"/>
      <c r="AF69" s="408"/>
      <c r="AG69" s="29"/>
      <c r="AH69" s="29"/>
      <c r="AI69" s="29"/>
      <c r="AJ69" s="408"/>
      <c r="AK69" s="29"/>
      <c r="AL69" s="29"/>
      <c r="AM69" s="29"/>
      <c r="AN69" s="408"/>
      <c r="AO69" s="89"/>
      <c r="AP69" s="29"/>
      <c r="AQ69" s="29"/>
      <c r="AR69" s="408"/>
      <c r="AS69" s="89"/>
      <c r="AT69" s="37">
        <f t="shared" si="0"/>
        <v>1000</v>
      </c>
      <c r="AU69" s="38">
        <f t="shared" si="1"/>
        <v>1000</v>
      </c>
    </row>
    <row r="70" spans="2:47" s="26" customFormat="1" ht="22.5" x14ac:dyDescent="0.25">
      <c r="B70" s="27">
        <f t="shared" si="3"/>
        <v>55</v>
      </c>
      <c r="C70" s="27" t="s">
        <v>39</v>
      </c>
      <c r="D70" s="28">
        <v>30418937</v>
      </c>
      <c r="E70" s="29" t="s">
        <v>1850</v>
      </c>
      <c r="F70" s="29" t="s">
        <v>54</v>
      </c>
      <c r="G70" s="30" t="s">
        <v>1761</v>
      </c>
      <c r="H70" s="29" t="s">
        <v>1791</v>
      </c>
      <c r="I70" s="29" t="s">
        <v>1763</v>
      </c>
      <c r="J70" s="29">
        <v>103651</v>
      </c>
      <c r="K70" s="29"/>
      <c r="L70" s="29"/>
      <c r="M70" s="31">
        <v>0</v>
      </c>
      <c r="N70" s="31">
        <v>0</v>
      </c>
      <c r="O70" s="31">
        <v>0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2"/>
        <v>0</v>
      </c>
      <c r="Z70" s="29">
        <v>1000</v>
      </c>
      <c r="AA70" s="29">
        <v>1</v>
      </c>
      <c r="AB70" s="408">
        <v>44207</v>
      </c>
      <c r="AC70" s="408">
        <v>44249</v>
      </c>
      <c r="AD70" s="29"/>
      <c r="AE70" s="29"/>
      <c r="AF70" s="408"/>
      <c r="AG70" s="29"/>
      <c r="AH70" s="29"/>
      <c r="AI70" s="29"/>
      <c r="AJ70" s="408"/>
      <c r="AK70" s="29"/>
      <c r="AL70" s="29"/>
      <c r="AM70" s="29"/>
      <c r="AN70" s="408"/>
      <c r="AO70" s="89"/>
      <c r="AP70" s="29"/>
      <c r="AQ70" s="29"/>
      <c r="AR70" s="408"/>
      <c r="AS70" s="89"/>
      <c r="AT70" s="37">
        <f t="shared" si="0"/>
        <v>1000</v>
      </c>
      <c r="AU70" s="38">
        <f t="shared" si="1"/>
        <v>1000</v>
      </c>
    </row>
    <row r="71" spans="2:47" s="26" customFormat="1" ht="22.5" x14ac:dyDescent="0.25">
      <c r="B71" s="27">
        <f t="shared" si="3"/>
        <v>56</v>
      </c>
      <c r="C71" s="27" t="s">
        <v>39</v>
      </c>
      <c r="D71" s="28">
        <v>30425724</v>
      </c>
      <c r="E71" s="29" t="s">
        <v>1851</v>
      </c>
      <c r="F71" s="29" t="s">
        <v>54</v>
      </c>
      <c r="G71" s="30" t="s">
        <v>1761</v>
      </c>
      <c r="H71" s="29" t="s">
        <v>1843</v>
      </c>
      <c r="I71" s="29" t="s">
        <v>1763</v>
      </c>
      <c r="J71" s="29">
        <v>168658</v>
      </c>
      <c r="K71" s="29"/>
      <c r="L71" s="29"/>
      <c r="M71" s="31">
        <v>13469.460999999999</v>
      </c>
      <c r="N71" s="31">
        <v>0</v>
      </c>
      <c r="O71" s="31">
        <v>146462.973</v>
      </c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2"/>
        <v>159932.43400000001</v>
      </c>
      <c r="Z71" s="29">
        <v>162824</v>
      </c>
      <c r="AA71" s="29">
        <v>4</v>
      </c>
      <c r="AB71" s="408">
        <v>44221</v>
      </c>
      <c r="AC71" s="408">
        <v>44280</v>
      </c>
      <c r="AD71" s="29"/>
      <c r="AE71" s="29"/>
      <c r="AF71" s="408"/>
      <c r="AG71" s="29"/>
      <c r="AH71" s="29"/>
      <c r="AI71" s="29"/>
      <c r="AJ71" s="408"/>
      <c r="AK71" s="29"/>
      <c r="AL71" s="29"/>
      <c r="AM71" s="29"/>
      <c r="AN71" s="408"/>
      <c r="AO71" s="89"/>
      <c r="AP71" s="29"/>
      <c r="AQ71" s="29"/>
      <c r="AR71" s="408"/>
      <c r="AS71" s="89"/>
      <c r="AT71" s="37">
        <f t="shared" si="0"/>
        <v>162824</v>
      </c>
      <c r="AU71" s="38">
        <f t="shared" si="1"/>
        <v>2891.5659999999916</v>
      </c>
    </row>
    <row r="72" spans="2:47" s="26" customFormat="1" ht="22.5" x14ac:dyDescent="0.25">
      <c r="B72" s="27">
        <f t="shared" si="3"/>
        <v>57</v>
      </c>
      <c r="C72" s="27" t="s">
        <v>39</v>
      </c>
      <c r="D72" s="28">
        <v>30427930</v>
      </c>
      <c r="E72" s="29" t="s">
        <v>1852</v>
      </c>
      <c r="F72" s="29" t="s">
        <v>54</v>
      </c>
      <c r="G72" s="30" t="s">
        <v>1761</v>
      </c>
      <c r="H72" s="29" t="s">
        <v>1800</v>
      </c>
      <c r="I72" s="29" t="s">
        <v>1763</v>
      </c>
      <c r="J72" s="29">
        <v>491856</v>
      </c>
      <c r="K72" s="29"/>
      <c r="L72" s="29"/>
      <c r="M72" s="31">
        <v>203498.166</v>
      </c>
      <c r="N72" s="31">
        <v>0</v>
      </c>
      <c r="O72" s="31">
        <v>195709.864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2"/>
        <v>399208.03</v>
      </c>
      <c r="Z72" s="29">
        <v>491856</v>
      </c>
      <c r="AA72" s="29">
        <v>4</v>
      </c>
      <c r="AB72" s="408">
        <v>44221</v>
      </c>
      <c r="AC72" s="408">
        <v>44280</v>
      </c>
      <c r="AD72" s="29"/>
      <c r="AE72" s="29"/>
      <c r="AF72" s="408"/>
      <c r="AG72" s="29"/>
      <c r="AH72" s="29"/>
      <c r="AI72" s="29"/>
      <c r="AJ72" s="408"/>
      <c r="AK72" s="29"/>
      <c r="AL72" s="29"/>
      <c r="AM72" s="29"/>
      <c r="AN72" s="408"/>
      <c r="AO72" s="89"/>
      <c r="AP72" s="29"/>
      <c r="AQ72" s="29"/>
      <c r="AR72" s="408"/>
      <c r="AS72" s="89"/>
      <c r="AT72" s="37">
        <f t="shared" si="0"/>
        <v>491856</v>
      </c>
      <c r="AU72" s="38">
        <f t="shared" si="1"/>
        <v>92647.969999999972</v>
      </c>
    </row>
    <row r="73" spans="2:47" s="26" customFormat="1" ht="22.5" x14ac:dyDescent="0.25">
      <c r="B73" s="27">
        <f t="shared" si="3"/>
        <v>58</v>
      </c>
      <c r="C73" s="27" t="s">
        <v>39</v>
      </c>
      <c r="D73" s="28">
        <v>30436276</v>
      </c>
      <c r="E73" s="29" t="s">
        <v>1853</v>
      </c>
      <c r="F73" s="29" t="s">
        <v>54</v>
      </c>
      <c r="G73" s="30" t="s">
        <v>1761</v>
      </c>
      <c r="H73" s="29" t="s">
        <v>1795</v>
      </c>
      <c r="I73" s="29" t="s">
        <v>1763</v>
      </c>
      <c r="J73" s="29">
        <v>445998</v>
      </c>
      <c r="K73" s="29"/>
      <c r="L73" s="29"/>
      <c r="M73" s="31">
        <v>0</v>
      </c>
      <c r="N73" s="31">
        <v>0</v>
      </c>
      <c r="O73" s="31">
        <v>0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2"/>
        <v>0</v>
      </c>
      <c r="Z73" s="29">
        <v>1000</v>
      </c>
      <c r="AA73" s="29">
        <v>1</v>
      </c>
      <c r="AB73" s="408">
        <v>44207</v>
      </c>
      <c r="AC73" s="408">
        <v>44249</v>
      </c>
      <c r="AD73" s="29"/>
      <c r="AE73" s="29"/>
      <c r="AF73" s="408"/>
      <c r="AG73" s="29"/>
      <c r="AH73" s="29"/>
      <c r="AI73" s="29"/>
      <c r="AJ73" s="408"/>
      <c r="AK73" s="29"/>
      <c r="AL73" s="29"/>
      <c r="AM73" s="29"/>
      <c r="AN73" s="408"/>
      <c r="AO73" s="89"/>
      <c r="AP73" s="29"/>
      <c r="AQ73" s="29"/>
      <c r="AR73" s="408"/>
      <c r="AS73" s="89"/>
      <c r="AT73" s="37">
        <f t="shared" si="0"/>
        <v>1000</v>
      </c>
      <c r="AU73" s="38">
        <f t="shared" si="1"/>
        <v>1000</v>
      </c>
    </row>
    <row r="74" spans="2:47" s="26" customFormat="1" ht="22.5" x14ac:dyDescent="0.25">
      <c r="B74" s="27">
        <f t="shared" si="3"/>
        <v>59</v>
      </c>
      <c r="C74" s="27" t="s">
        <v>39</v>
      </c>
      <c r="D74" s="28">
        <v>30437922</v>
      </c>
      <c r="E74" s="29" t="s">
        <v>1854</v>
      </c>
      <c r="F74" s="29" t="s">
        <v>54</v>
      </c>
      <c r="G74" s="30" t="s">
        <v>1761</v>
      </c>
      <c r="H74" s="29" t="s">
        <v>1855</v>
      </c>
      <c r="I74" s="29" t="s">
        <v>1763</v>
      </c>
      <c r="J74" s="29">
        <v>1292186</v>
      </c>
      <c r="K74" s="29"/>
      <c r="L74" s="29"/>
      <c r="M74" s="31">
        <v>0</v>
      </c>
      <c r="N74" s="31">
        <v>0</v>
      </c>
      <c r="O74" s="31">
        <v>0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2"/>
        <v>0</v>
      </c>
      <c r="Z74" s="29">
        <v>1003000</v>
      </c>
      <c r="AA74" s="29">
        <v>4</v>
      </c>
      <c r="AB74" s="408">
        <v>44221</v>
      </c>
      <c r="AC74" s="408">
        <v>44280</v>
      </c>
      <c r="AD74" s="29"/>
      <c r="AE74" s="29"/>
      <c r="AF74" s="408"/>
      <c r="AG74" s="29"/>
      <c r="AH74" s="29"/>
      <c r="AI74" s="29"/>
      <c r="AJ74" s="408"/>
      <c r="AK74" s="29"/>
      <c r="AL74" s="29"/>
      <c r="AM74" s="29"/>
      <c r="AN74" s="408"/>
      <c r="AO74" s="89"/>
      <c r="AP74" s="29"/>
      <c r="AQ74" s="29"/>
      <c r="AR74" s="408"/>
      <c r="AS74" s="89"/>
      <c r="AT74" s="37">
        <f t="shared" si="0"/>
        <v>1003000</v>
      </c>
      <c r="AU74" s="38">
        <f t="shared" si="1"/>
        <v>1003000</v>
      </c>
    </row>
    <row r="75" spans="2:47" s="26" customFormat="1" ht="22.5" x14ac:dyDescent="0.25">
      <c r="B75" s="27">
        <f t="shared" si="3"/>
        <v>60</v>
      </c>
      <c r="C75" s="27" t="s">
        <v>39</v>
      </c>
      <c r="D75" s="28">
        <v>30438223</v>
      </c>
      <c r="E75" s="29" t="s">
        <v>1856</v>
      </c>
      <c r="F75" s="29" t="s">
        <v>54</v>
      </c>
      <c r="G75" s="30" t="s">
        <v>1761</v>
      </c>
      <c r="H75" s="29" t="s">
        <v>1789</v>
      </c>
      <c r="I75" s="29" t="s">
        <v>1763</v>
      </c>
      <c r="J75" s="29">
        <v>156954</v>
      </c>
      <c r="K75" s="29"/>
      <c r="L75" s="29"/>
      <c r="M75" s="31">
        <v>0</v>
      </c>
      <c r="N75" s="31">
        <v>0</v>
      </c>
      <c r="O75" s="31">
        <v>0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2"/>
        <v>0</v>
      </c>
      <c r="Z75" s="29">
        <v>1000</v>
      </c>
      <c r="AA75" s="29">
        <v>1</v>
      </c>
      <c r="AB75" s="408">
        <v>44207</v>
      </c>
      <c r="AC75" s="408">
        <v>44249</v>
      </c>
      <c r="AD75" s="29"/>
      <c r="AE75" s="29"/>
      <c r="AF75" s="408"/>
      <c r="AG75" s="29"/>
      <c r="AH75" s="29"/>
      <c r="AI75" s="29"/>
      <c r="AJ75" s="408"/>
      <c r="AK75" s="29"/>
      <c r="AL75" s="29"/>
      <c r="AM75" s="29"/>
      <c r="AN75" s="408"/>
      <c r="AO75" s="89"/>
      <c r="AP75" s="29"/>
      <c r="AQ75" s="29"/>
      <c r="AR75" s="408"/>
      <c r="AS75" s="89"/>
      <c r="AT75" s="37">
        <f t="shared" si="0"/>
        <v>1000</v>
      </c>
      <c r="AU75" s="38">
        <f t="shared" si="1"/>
        <v>1000</v>
      </c>
    </row>
    <row r="76" spans="2:47" s="26" customFormat="1" ht="22.5" x14ac:dyDescent="0.25">
      <c r="B76" s="27">
        <f t="shared" si="3"/>
        <v>61</v>
      </c>
      <c r="C76" s="27" t="s">
        <v>39</v>
      </c>
      <c r="D76" s="28">
        <v>30440874</v>
      </c>
      <c r="E76" s="29" t="s">
        <v>1857</v>
      </c>
      <c r="F76" s="29" t="s">
        <v>54</v>
      </c>
      <c r="G76" s="30" t="s">
        <v>1761</v>
      </c>
      <c r="H76" s="29" t="s">
        <v>1858</v>
      </c>
      <c r="I76" s="29" t="s">
        <v>1763</v>
      </c>
      <c r="J76" s="29">
        <v>215731</v>
      </c>
      <c r="K76" s="29"/>
      <c r="L76" s="29"/>
      <c r="M76" s="31">
        <v>72917.107999999993</v>
      </c>
      <c r="N76" s="31">
        <v>38191.589999999997</v>
      </c>
      <c r="O76" s="31">
        <v>41338.296999999999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2"/>
        <v>152446.995</v>
      </c>
      <c r="Z76" s="29">
        <v>201989</v>
      </c>
      <c r="AA76" s="29">
        <v>4</v>
      </c>
      <c r="AB76" s="408">
        <v>44221</v>
      </c>
      <c r="AC76" s="408">
        <v>44280</v>
      </c>
      <c r="AD76" s="29"/>
      <c r="AE76" s="29"/>
      <c r="AF76" s="408"/>
      <c r="AG76" s="29"/>
      <c r="AH76" s="29"/>
      <c r="AI76" s="29"/>
      <c r="AJ76" s="408"/>
      <c r="AK76" s="29"/>
      <c r="AL76" s="29"/>
      <c r="AM76" s="29"/>
      <c r="AN76" s="408"/>
      <c r="AO76" s="89"/>
      <c r="AP76" s="29"/>
      <c r="AQ76" s="29"/>
      <c r="AR76" s="408"/>
      <c r="AS76" s="89"/>
      <c r="AT76" s="37">
        <f t="shared" si="0"/>
        <v>201989</v>
      </c>
      <c r="AU76" s="38">
        <f t="shared" si="1"/>
        <v>49542.005000000005</v>
      </c>
    </row>
    <row r="77" spans="2:47" s="26" customFormat="1" ht="22.5" x14ac:dyDescent="0.25">
      <c r="B77" s="27">
        <f t="shared" si="3"/>
        <v>62</v>
      </c>
      <c r="C77" s="27" t="s">
        <v>39</v>
      </c>
      <c r="D77" s="28">
        <v>30441226</v>
      </c>
      <c r="E77" s="29" t="s">
        <v>1859</v>
      </c>
      <c r="F77" s="29" t="s">
        <v>54</v>
      </c>
      <c r="G77" s="30" t="s">
        <v>1761</v>
      </c>
      <c r="H77" s="29" t="s">
        <v>1765</v>
      </c>
      <c r="I77" s="29" t="s">
        <v>1763</v>
      </c>
      <c r="J77" s="29">
        <v>14524</v>
      </c>
      <c r="K77" s="29"/>
      <c r="L77" s="29"/>
      <c r="M77" s="31">
        <v>3717.2910000000002</v>
      </c>
      <c r="N77" s="31">
        <v>0</v>
      </c>
      <c r="O77" s="31">
        <v>0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2"/>
        <v>3717.2910000000002</v>
      </c>
      <c r="Z77" s="29">
        <v>3718</v>
      </c>
      <c r="AA77" s="29">
        <v>4</v>
      </c>
      <c r="AB77" s="408">
        <v>44221</v>
      </c>
      <c r="AC77" s="408">
        <v>44280</v>
      </c>
      <c r="AD77" s="29"/>
      <c r="AE77" s="29"/>
      <c r="AF77" s="408"/>
      <c r="AG77" s="29"/>
      <c r="AH77" s="29"/>
      <c r="AI77" s="29"/>
      <c r="AJ77" s="408"/>
      <c r="AK77" s="29"/>
      <c r="AL77" s="29"/>
      <c r="AM77" s="29"/>
      <c r="AN77" s="408"/>
      <c r="AO77" s="89"/>
      <c r="AP77" s="29"/>
      <c r="AQ77" s="29"/>
      <c r="AR77" s="408"/>
      <c r="AS77" s="89"/>
      <c r="AT77" s="37">
        <f t="shared" si="0"/>
        <v>3718</v>
      </c>
      <c r="AU77" s="38">
        <f t="shared" si="1"/>
        <v>0.70899999999983265</v>
      </c>
    </row>
    <row r="78" spans="2:47" s="26" customFormat="1" ht="22.5" x14ac:dyDescent="0.25">
      <c r="B78" s="27">
        <f t="shared" si="3"/>
        <v>63</v>
      </c>
      <c r="C78" s="27" t="s">
        <v>39</v>
      </c>
      <c r="D78" s="28">
        <v>30442622</v>
      </c>
      <c r="E78" s="29" t="s">
        <v>1860</v>
      </c>
      <c r="F78" s="29" t="s">
        <v>54</v>
      </c>
      <c r="G78" s="30" t="s">
        <v>1761</v>
      </c>
      <c r="H78" s="29" t="s">
        <v>1861</v>
      </c>
      <c r="I78" s="29" t="s">
        <v>1763</v>
      </c>
      <c r="J78" s="29">
        <v>28889</v>
      </c>
      <c r="K78" s="29"/>
      <c r="L78" s="29"/>
      <c r="M78" s="31">
        <v>28889.828000000001</v>
      </c>
      <c r="N78" s="31">
        <v>0</v>
      </c>
      <c r="O78" s="31">
        <v>1E-3</v>
      </c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2"/>
        <v>28889.829000000002</v>
      </c>
      <c r="Z78" s="29">
        <v>28889</v>
      </c>
      <c r="AA78" s="29">
        <v>4</v>
      </c>
      <c r="AB78" s="408">
        <v>44221</v>
      </c>
      <c r="AC78" s="408">
        <v>44280</v>
      </c>
      <c r="AD78" s="29"/>
      <c r="AE78" s="29"/>
      <c r="AF78" s="408"/>
      <c r="AG78" s="29"/>
      <c r="AH78" s="29"/>
      <c r="AI78" s="29"/>
      <c r="AJ78" s="408"/>
      <c r="AK78" s="29"/>
      <c r="AL78" s="29"/>
      <c r="AM78" s="29"/>
      <c r="AN78" s="408"/>
      <c r="AO78" s="89"/>
      <c r="AP78" s="29"/>
      <c r="AQ78" s="29"/>
      <c r="AR78" s="408"/>
      <c r="AS78" s="89"/>
      <c r="AT78" s="37">
        <f t="shared" si="0"/>
        <v>28889</v>
      </c>
      <c r="AU78" s="38">
        <f t="shared" si="1"/>
        <v>-0.8290000000015425</v>
      </c>
    </row>
    <row r="79" spans="2:47" s="26" customFormat="1" ht="22.5" x14ac:dyDescent="0.25">
      <c r="B79" s="27">
        <f t="shared" si="3"/>
        <v>64</v>
      </c>
      <c r="C79" s="27" t="s">
        <v>39</v>
      </c>
      <c r="D79" s="28">
        <v>30442824</v>
      </c>
      <c r="E79" s="29" t="s">
        <v>1862</v>
      </c>
      <c r="F79" s="29" t="s">
        <v>54</v>
      </c>
      <c r="G79" s="30" t="s">
        <v>1761</v>
      </c>
      <c r="H79" s="29" t="s">
        <v>1863</v>
      </c>
      <c r="I79" s="29" t="s">
        <v>1763</v>
      </c>
      <c r="J79" s="29">
        <v>265098</v>
      </c>
      <c r="K79" s="29"/>
      <c r="L79" s="29"/>
      <c r="M79" s="31">
        <v>167501.55799999999</v>
      </c>
      <c r="N79" s="31">
        <v>1500</v>
      </c>
      <c r="O79" s="31">
        <v>33154.370000000003</v>
      </c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2"/>
        <v>202155.92799999999</v>
      </c>
      <c r="Z79" s="29">
        <v>1500</v>
      </c>
      <c r="AA79" s="29">
        <v>1</v>
      </c>
      <c r="AB79" s="408">
        <v>44207</v>
      </c>
      <c r="AC79" s="408">
        <v>44249</v>
      </c>
      <c r="AD79" s="29">
        <v>203618</v>
      </c>
      <c r="AE79" s="29">
        <v>4</v>
      </c>
      <c r="AF79" s="408">
        <v>44221</v>
      </c>
      <c r="AG79" s="408">
        <v>44280</v>
      </c>
      <c r="AH79" s="29"/>
      <c r="AI79" s="29"/>
      <c r="AJ79" s="408"/>
      <c r="AK79" s="29"/>
      <c r="AL79" s="29"/>
      <c r="AM79" s="29"/>
      <c r="AN79" s="408"/>
      <c r="AO79" s="89"/>
      <c r="AP79" s="29"/>
      <c r="AQ79" s="29"/>
      <c r="AR79" s="408"/>
      <c r="AS79" s="89"/>
      <c r="AT79" s="37">
        <f t="shared" si="0"/>
        <v>205118</v>
      </c>
      <c r="AU79" s="38">
        <f t="shared" si="1"/>
        <v>2962.0720000000147</v>
      </c>
    </row>
    <row r="80" spans="2:47" s="26" customFormat="1" ht="22.5" x14ac:dyDescent="0.25">
      <c r="B80" s="27">
        <f t="shared" si="3"/>
        <v>65</v>
      </c>
      <c r="C80" s="27" t="s">
        <v>39</v>
      </c>
      <c r="D80" s="28">
        <v>30442825</v>
      </c>
      <c r="E80" s="29" t="s">
        <v>1864</v>
      </c>
      <c r="F80" s="29" t="s">
        <v>54</v>
      </c>
      <c r="G80" s="30" t="s">
        <v>1761</v>
      </c>
      <c r="H80" s="29" t="s">
        <v>1863</v>
      </c>
      <c r="I80" s="29" t="s">
        <v>1763</v>
      </c>
      <c r="J80" s="29">
        <v>416979</v>
      </c>
      <c r="K80" s="29"/>
      <c r="L80" s="29"/>
      <c r="M80" s="31">
        <v>131671.087</v>
      </c>
      <c r="N80" s="31">
        <v>146248.117</v>
      </c>
      <c r="O80" s="31">
        <v>105149.88499999999</v>
      </c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si="2"/>
        <v>383069.08900000004</v>
      </c>
      <c r="Z80" s="29">
        <v>3000</v>
      </c>
      <c r="AA80" s="29">
        <v>1</v>
      </c>
      <c r="AB80" s="408">
        <v>44207</v>
      </c>
      <c r="AC80" s="408">
        <v>44249</v>
      </c>
      <c r="AD80" s="29">
        <v>300000</v>
      </c>
      <c r="AE80" s="29">
        <v>4</v>
      </c>
      <c r="AF80" s="408">
        <v>44221</v>
      </c>
      <c r="AG80" s="408">
        <v>44280</v>
      </c>
      <c r="AH80" s="29"/>
      <c r="AI80" s="29"/>
      <c r="AJ80" s="408"/>
      <c r="AK80" s="29"/>
      <c r="AL80" s="29"/>
      <c r="AM80" s="29"/>
      <c r="AN80" s="408"/>
      <c r="AO80" s="89"/>
      <c r="AP80" s="29"/>
      <c r="AQ80" s="29"/>
      <c r="AR80" s="408"/>
      <c r="AS80" s="89"/>
      <c r="AT80" s="37">
        <f t="shared" ref="AT80:AT143" si="4">+Z80+AD80+AH80+AL80+AP80</f>
        <v>303000</v>
      </c>
      <c r="AU80" s="38">
        <f t="shared" ref="AU80:AU143" si="5">+AT80-Y80</f>
        <v>-80069.089000000036</v>
      </c>
    </row>
    <row r="81" spans="2:47" s="26" customFormat="1" ht="22.5" x14ac:dyDescent="0.25">
      <c r="B81" s="27">
        <f t="shared" si="3"/>
        <v>66</v>
      </c>
      <c r="C81" s="27" t="s">
        <v>43</v>
      </c>
      <c r="D81" s="28">
        <v>30452677</v>
      </c>
      <c r="E81" s="29" t="s">
        <v>1865</v>
      </c>
      <c r="F81" s="29" t="s">
        <v>54</v>
      </c>
      <c r="G81" s="30" t="s">
        <v>1761</v>
      </c>
      <c r="H81" s="29" t="s">
        <v>1855</v>
      </c>
      <c r="I81" s="29" t="s">
        <v>1763</v>
      </c>
      <c r="J81" s="29">
        <v>207783</v>
      </c>
      <c r="K81" s="29"/>
      <c r="L81" s="29"/>
      <c r="M81" s="31">
        <v>0</v>
      </c>
      <c r="N81" s="31">
        <v>0</v>
      </c>
      <c r="O81" s="31">
        <v>0</v>
      </c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ref="Y81:Y144" si="6">SUM(M81:X81)</f>
        <v>0</v>
      </c>
      <c r="Z81" s="29">
        <v>1000</v>
      </c>
      <c r="AA81" s="29">
        <v>1</v>
      </c>
      <c r="AB81" s="408">
        <v>44207</v>
      </c>
      <c r="AC81" s="408">
        <v>44249</v>
      </c>
      <c r="AD81" s="29"/>
      <c r="AE81" s="29"/>
      <c r="AF81" s="408"/>
      <c r="AG81" s="29"/>
      <c r="AH81" s="29"/>
      <c r="AI81" s="29"/>
      <c r="AJ81" s="408"/>
      <c r="AK81" s="29"/>
      <c r="AL81" s="29"/>
      <c r="AM81" s="29"/>
      <c r="AN81" s="408"/>
      <c r="AO81" s="89"/>
      <c r="AP81" s="29"/>
      <c r="AQ81" s="29"/>
      <c r="AR81" s="408"/>
      <c r="AS81" s="89"/>
      <c r="AT81" s="37">
        <f t="shared" si="4"/>
        <v>1000</v>
      </c>
      <c r="AU81" s="38">
        <f t="shared" si="5"/>
        <v>1000</v>
      </c>
    </row>
    <row r="82" spans="2:47" s="26" customFormat="1" ht="22.5" x14ac:dyDescent="0.25">
      <c r="B82" s="27">
        <f t="shared" si="3"/>
        <v>67</v>
      </c>
      <c r="C82" s="27" t="s">
        <v>39</v>
      </c>
      <c r="D82" s="28">
        <v>30453924</v>
      </c>
      <c r="E82" s="29" t="s">
        <v>1866</v>
      </c>
      <c r="F82" s="29" t="s">
        <v>54</v>
      </c>
      <c r="G82" s="30" t="s">
        <v>1761</v>
      </c>
      <c r="H82" s="29" t="s">
        <v>1781</v>
      </c>
      <c r="I82" s="29" t="s">
        <v>1763</v>
      </c>
      <c r="J82" s="29">
        <v>4507751</v>
      </c>
      <c r="K82" s="29"/>
      <c r="L82" s="29"/>
      <c r="M82" s="31">
        <v>126568.253</v>
      </c>
      <c r="N82" s="31">
        <v>0</v>
      </c>
      <c r="O82" s="31">
        <v>96633.192999999999</v>
      </c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6"/>
        <v>223201.446</v>
      </c>
      <c r="Z82" s="29">
        <v>430000</v>
      </c>
      <c r="AA82" s="29">
        <v>4</v>
      </c>
      <c r="AB82" s="408">
        <v>44221</v>
      </c>
      <c r="AC82" s="408">
        <v>44280</v>
      </c>
      <c r="AD82" s="29"/>
      <c r="AE82" s="29"/>
      <c r="AF82" s="408"/>
      <c r="AG82" s="29"/>
      <c r="AH82" s="29"/>
      <c r="AI82" s="29"/>
      <c r="AJ82" s="408"/>
      <c r="AK82" s="29"/>
      <c r="AL82" s="29"/>
      <c r="AM82" s="29"/>
      <c r="AN82" s="408"/>
      <c r="AO82" s="89"/>
      <c r="AP82" s="29"/>
      <c r="AQ82" s="29"/>
      <c r="AR82" s="408"/>
      <c r="AS82" s="89"/>
      <c r="AT82" s="37">
        <f t="shared" si="4"/>
        <v>430000</v>
      </c>
      <c r="AU82" s="38">
        <f t="shared" si="5"/>
        <v>206798.554</v>
      </c>
    </row>
    <row r="83" spans="2:47" s="26" customFormat="1" ht="22.5" x14ac:dyDescent="0.25">
      <c r="B83" s="27">
        <f t="shared" si="3"/>
        <v>68</v>
      </c>
      <c r="C83" s="27" t="s">
        <v>39</v>
      </c>
      <c r="D83" s="28">
        <v>30455673</v>
      </c>
      <c r="E83" s="29" t="s">
        <v>1867</v>
      </c>
      <c r="F83" s="29" t="s">
        <v>54</v>
      </c>
      <c r="G83" s="30" t="s">
        <v>1761</v>
      </c>
      <c r="H83" s="29" t="s">
        <v>1843</v>
      </c>
      <c r="I83" s="29" t="s">
        <v>1763</v>
      </c>
      <c r="J83" s="29">
        <v>482988</v>
      </c>
      <c r="K83" s="29"/>
      <c r="L83" s="29"/>
      <c r="M83" s="31">
        <v>0</v>
      </c>
      <c r="N83" s="31">
        <v>0</v>
      </c>
      <c r="O83" s="31">
        <v>0</v>
      </c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6"/>
        <v>0</v>
      </c>
      <c r="Z83" s="29">
        <v>1000</v>
      </c>
      <c r="AA83" s="29">
        <v>1</v>
      </c>
      <c r="AB83" s="408">
        <v>44207</v>
      </c>
      <c r="AC83" s="408">
        <v>44249</v>
      </c>
      <c r="AD83" s="29"/>
      <c r="AE83" s="29"/>
      <c r="AF83" s="408"/>
      <c r="AG83" s="29"/>
      <c r="AH83" s="29"/>
      <c r="AI83" s="29"/>
      <c r="AJ83" s="408"/>
      <c r="AK83" s="29"/>
      <c r="AL83" s="29"/>
      <c r="AM83" s="29"/>
      <c r="AN83" s="408"/>
      <c r="AO83" s="89"/>
      <c r="AP83" s="29"/>
      <c r="AQ83" s="29"/>
      <c r="AR83" s="408"/>
      <c r="AS83" s="89"/>
      <c r="AT83" s="37">
        <f t="shared" si="4"/>
        <v>1000</v>
      </c>
      <c r="AU83" s="38">
        <f t="shared" si="5"/>
        <v>1000</v>
      </c>
    </row>
    <row r="84" spans="2:47" s="26" customFormat="1" ht="45" x14ac:dyDescent="0.25">
      <c r="B84" s="27">
        <f t="shared" si="3"/>
        <v>69</v>
      </c>
      <c r="C84" s="27" t="s">
        <v>39</v>
      </c>
      <c r="D84" s="28">
        <v>30459952</v>
      </c>
      <c r="E84" s="29" t="s">
        <v>1868</v>
      </c>
      <c r="F84" s="29" t="s">
        <v>54</v>
      </c>
      <c r="G84" s="30" t="s">
        <v>1761</v>
      </c>
      <c r="H84" s="29" t="s">
        <v>1869</v>
      </c>
      <c r="I84" s="29" t="s">
        <v>1763</v>
      </c>
      <c r="J84" s="29">
        <v>433853</v>
      </c>
      <c r="K84" s="29"/>
      <c r="L84" s="29"/>
      <c r="M84" s="31">
        <v>18863.746999999999</v>
      </c>
      <c r="N84" s="31">
        <v>15940.794</v>
      </c>
      <c r="O84" s="31">
        <v>21929.953000000001</v>
      </c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6"/>
        <v>56734.493999999999</v>
      </c>
      <c r="Z84" s="29">
        <v>111501</v>
      </c>
      <c r="AA84" s="29">
        <v>4</v>
      </c>
      <c r="AB84" s="408">
        <v>44221</v>
      </c>
      <c r="AC84" s="408">
        <v>44280</v>
      </c>
      <c r="AD84" s="29"/>
      <c r="AE84" s="29"/>
      <c r="AF84" s="408"/>
      <c r="AG84" s="29"/>
      <c r="AH84" s="29"/>
      <c r="AI84" s="29"/>
      <c r="AJ84" s="408"/>
      <c r="AK84" s="29"/>
      <c r="AL84" s="29"/>
      <c r="AM84" s="29"/>
      <c r="AN84" s="408"/>
      <c r="AO84" s="89"/>
      <c r="AP84" s="29"/>
      <c r="AQ84" s="29"/>
      <c r="AR84" s="408"/>
      <c r="AS84" s="89"/>
      <c r="AT84" s="37">
        <f t="shared" si="4"/>
        <v>111501</v>
      </c>
      <c r="AU84" s="38">
        <f t="shared" si="5"/>
        <v>54766.506000000001</v>
      </c>
    </row>
    <row r="85" spans="2:47" s="26" customFormat="1" ht="22.5" x14ac:dyDescent="0.25">
      <c r="B85" s="27">
        <f t="shared" si="3"/>
        <v>70</v>
      </c>
      <c r="C85" s="27" t="s">
        <v>39</v>
      </c>
      <c r="D85" s="28">
        <v>30459992</v>
      </c>
      <c r="E85" s="29" t="s">
        <v>1870</v>
      </c>
      <c r="F85" s="29" t="s">
        <v>54</v>
      </c>
      <c r="G85" s="30" t="s">
        <v>1761</v>
      </c>
      <c r="H85" s="29" t="s">
        <v>1814</v>
      </c>
      <c r="I85" s="29" t="s">
        <v>1763</v>
      </c>
      <c r="J85" s="29">
        <v>905234</v>
      </c>
      <c r="K85" s="29"/>
      <c r="L85" s="29"/>
      <c r="M85" s="31">
        <v>0</v>
      </c>
      <c r="N85" s="31">
        <v>0</v>
      </c>
      <c r="O85" s="31">
        <v>0</v>
      </c>
      <c r="P85" s="31"/>
      <c r="Q85" s="31"/>
      <c r="R85" s="31"/>
      <c r="S85" s="31"/>
      <c r="T85" s="31"/>
      <c r="U85" s="31"/>
      <c r="V85" s="31"/>
      <c r="W85" s="31"/>
      <c r="X85" s="31"/>
      <c r="Y85" s="31">
        <f t="shared" si="6"/>
        <v>0</v>
      </c>
      <c r="Z85" s="29">
        <v>1000</v>
      </c>
      <c r="AA85" s="29">
        <v>1</v>
      </c>
      <c r="AB85" s="408">
        <v>44207</v>
      </c>
      <c r="AC85" s="408">
        <v>44249</v>
      </c>
      <c r="AD85" s="29"/>
      <c r="AE85" s="29"/>
      <c r="AF85" s="408"/>
      <c r="AG85" s="29"/>
      <c r="AH85" s="29"/>
      <c r="AI85" s="29"/>
      <c r="AJ85" s="408"/>
      <c r="AK85" s="29"/>
      <c r="AL85" s="29"/>
      <c r="AM85" s="29"/>
      <c r="AN85" s="408"/>
      <c r="AO85" s="89"/>
      <c r="AP85" s="29"/>
      <c r="AQ85" s="29"/>
      <c r="AR85" s="408"/>
      <c r="AS85" s="89"/>
      <c r="AT85" s="37">
        <f t="shared" si="4"/>
        <v>1000</v>
      </c>
      <c r="AU85" s="38">
        <f t="shared" si="5"/>
        <v>1000</v>
      </c>
    </row>
    <row r="86" spans="2:47" s="26" customFormat="1" ht="22.5" x14ac:dyDescent="0.25">
      <c r="B86" s="27">
        <f t="shared" si="3"/>
        <v>71</v>
      </c>
      <c r="C86" s="27" t="s">
        <v>39</v>
      </c>
      <c r="D86" s="28">
        <v>30460031</v>
      </c>
      <c r="E86" s="29" t="s">
        <v>1871</v>
      </c>
      <c r="F86" s="29" t="s">
        <v>54</v>
      </c>
      <c r="G86" s="30" t="s">
        <v>1761</v>
      </c>
      <c r="H86" s="29" t="s">
        <v>1872</v>
      </c>
      <c r="I86" s="29" t="s">
        <v>1763</v>
      </c>
      <c r="J86" s="29">
        <v>1120653</v>
      </c>
      <c r="K86" s="29"/>
      <c r="L86" s="29"/>
      <c r="M86" s="31">
        <v>153011.875</v>
      </c>
      <c r="N86" s="31">
        <v>21382.93</v>
      </c>
      <c r="O86" s="31">
        <v>124228.05</v>
      </c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si="6"/>
        <v>298622.85499999998</v>
      </c>
      <c r="Z86" s="29">
        <v>300000</v>
      </c>
      <c r="AA86" s="29">
        <v>4</v>
      </c>
      <c r="AB86" s="408">
        <v>44221</v>
      </c>
      <c r="AC86" s="408">
        <v>44280</v>
      </c>
      <c r="AD86" s="29"/>
      <c r="AE86" s="29"/>
      <c r="AF86" s="408"/>
      <c r="AG86" s="29"/>
      <c r="AH86" s="29"/>
      <c r="AI86" s="29"/>
      <c r="AJ86" s="408"/>
      <c r="AK86" s="29"/>
      <c r="AL86" s="29"/>
      <c r="AM86" s="29"/>
      <c r="AN86" s="408"/>
      <c r="AO86" s="89"/>
      <c r="AP86" s="29"/>
      <c r="AQ86" s="29"/>
      <c r="AR86" s="408"/>
      <c r="AS86" s="89"/>
      <c r="AT86" s="37">
        <f t="shared" si="4"/>
        <v>300000</v>
      </c>
      <c r="AU86" s="38">
        <f t="shared" si="5"/>
        <v>1377.1450000000186</v>
      </c>
    </row>
    <row r="87" spans="2:47" s="26" customFormat="1" ht="22.5" x14ac:dyDescent="0.25">
      <c r="B87" s="27">
        <f t="shared" si="3"/>
        <v>72</v>
      </c>
      <c r="C87" s="27" t="s">
        <v>39</v>
      </c>
      <c r="D87" s="28">
        <v>30467934</v>
      </c>
      <c r="E87" s="29" t="s">
        <v>1873</v>
      </c>
      <c r="F87" s="29" t="s">
        <v>54</v>
      </c>
      <c r="G87" s="30" t="s">
        <v>1761</v>
      </c>
      <c r="H87" s="29" t="s">
        <v>1874</v>
      </c>
      <c r="I87" s="29" t="s">
        <v>1763</v>
      </c>
      <c r="J87" s="29">
        <v>743939</v>
      </c>
      <c r="K87" s="29"/>
      <c r="L87" s="29"/>
      <c r="M87" s="31">
        <v>0</v>
      </c>
      <c r="N87" s="31">
        <v>0</v>
      </c>
      <c r="O87" s="31">
        <v>0</v>
      </c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6"/>
        <v>0</v>
      </c>
      <c r="Z87" s="29">
        <v>1000</v>
      </c>
      <c r="AA87" s="29">
        <v>1</v>
      </c>
      <c r="AB87" s="408">
        <v>44207</v>
      </c>
      <c r="AC87" s="408">
        <v>44249</v>
      </c>
      <c r="AD87" s="29"/>
      <c r="AE87" s="29"/>
      <c r="AF87" s="408"/>
      <c r="AG87" s="29"/>
      <c r="AH87" s="29"/>
      <c r="AI87" s="29"/>
      <c r="AJ87" s="408"/>
      <c r="AK87" s="29"/>
      <c r="AL87" s="29"/>
      <c r="AM87" s="29"/>
      <c r="AN87" s="408"/>
      <c r="AO87" s="89"/>
      <c r="AP87" s="29"/>
      <c r="AQ87" s="29"/>
      <c r="AR87" s="408"/>
      <c r="AS87" s="89"/>
      <c r="AT87" s="37">
        <f t="shared" si="4"/>
        <v>1000</v>
      </c>
      <c r="AU87" s="38">
        <f t="shared" si="5"/>
        <v>1000</v>
      </c>
    </row>
    <row r="88" spans="2:47" s="26" customFormat="1" ht="22.5" x14ac:dyDescent="0.25">
      <c r="B88" s="27">
        <f t="shared" si="3"/>
        <v>73</v>
      </c>
      <c r="C88" s="27" t="s">
        <v>39</v>
      </c>
      <c r="D88" s="28">
        <v>30468051</v>
      </c>
      <c r="E88" s="29" t="s">
        <v>1875</v>
      </c>
      <c r="F88" s="29" t="s">
        <v>54</v>
      </c>
      <c r="G88" s="30" t="s">
        <v>1761</v>
      </c>
      <c r="H88" s="29" t="s">
        <v>1876</v>
      </c>
      <c r="I88" s="29" t="s">
        <v>1763</v>
      </c>
      <c r="J88" s="29">
        <v>1674599</v>
      </c>
      <c r="K88" s="29"/>
      <c r="L88" s="29"/>
      <c r="M88" s="31">
        <v>0</v>
      </c>
      <c r="N88" s="31">
        <v>0</v>
      </c>
      <c r="O88" s="31">
        <v>0</v>
      </c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6"/>
        <v>0</v>
      </c>
      <c r="Z88" s="29">
        <v>1000</v>
      </c>
      <c r="AA88" s="29">
        <v>1</v>
      </c>
      <c r="AB88" s="408">
        <v>44207</v>
      </c>
      <c r="AC88" s="408">
        <v>44249</v>
      </c>
      <c r="AD88" s="29"/>
      <c r="AE88" s="29"/>
      <c r="AF88" s="408"/>
      <c r="AG88" s="29"/>
      <c r="AH88" s="29"/>
      <c r="AI88" s="29"/>
      <c r="AJ88" s="408"/>
      <c r="AK88" s="29"/>
      <c r="AL88" s="29"/>
      <c r="AM88" s="29"/>
      <c r="AN88" s="408"/>
      <c r="AO88" s="89"/>
      <c r="AP88" s="29"/>
      <c r="AQ88" s="29"/>
      <c r="AR88" s="408"/>
      <c r="AS88" s="89"/>
      <c r="AT88" s="37">
        <f t="shared" si="4"/>
        <v>1000</v>
      </c>
      <c r="AU88" s="38">
        <f t="shared" si="5"/>
        <v>1000</v>
      </c>
    </row>
    <row r="89" spans="2:47" s="26" customFormat="1" ht="22.5" x14ac:dyDescent="0.25">
      <c r="B89" s="27">
        <f t="shared" si="3"/>
        <v>74</v>
      </c>
      <c r="C89" s="27" t="s">
        <v>39</v>
      </c>
      <c r="D89" s="28">
        <v>30471091</v>
      </c>
      <c r="E89" s="29" t="s">
        <v>1877</v>
      </c>
      <c r="F89" s="29" t="s">
        <v>54</v>
      </c>
      <c r="G89" s="30" t="s">
        <v>1761</v>
      </c>
      <c r="H89" s="29" t="s">
        <v>1798</v>
      </c>
      <c r="I89" s="29" t="s">
        <v>1763</v>
      </c>
      <c r="J89" s="29">
        <v>285915</v>
      </c>
      <c r="K89" s="29"/>
      <c r="L89" s="29"/>
      <c r="M89" s="31">
        <v>146300.26199999999</v>
      </c>
      <c r="N89" s="31">
        <v>0</v>
      </c>
      <c r="O89" s="31">
        <v>83136.125</v>
      </c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6"/>
        <v>229436.38699999999</v>
      </c>
      <c r="Z89" s="29">
        <v>285915</v>
      </c>
      <c r="AA89" s="29">
        <v>4</v>
      </c>
      <c r="AB89" s="408">
        <v>44221</v>
      </c>
      <c r="AC89" s="408">
        <v>44280</v>
      </c>
      <c r="AD89" s="29"/>
      <c r="AE89" s="29"/>
      <c r="AF89" s="408"/>
      <c r="AG89" s="29"/>
      <c r="AH89" s="29"/>
      <c r="AI89" s="29"/>
      <c r="AJ89" s="408"/>
      <c r="AK89" s="29"/>
      <c r="AL89" s="29"/>
      <c r="AM89" s="29"/>
      <c r="AN89" s="408"/>
      <c r="AO89" s="89"/>
      <c r="AP89" s="29"/>
      <c r="AQ89" s="29"/>
      <c r="AR89" s="408"/>
      <c r="AS89" s="89"/>
      <c r="AT89" s="37">
        <f t="shared" si="4"/>
        <v>285915</v>
      </c>
      <c r="AU89" s="38">
        <f t="shared" si="5"/>
        <v>56478.613000000012</v>
      </c>
    </row>
    <row r="90" spans="2:47" s="26" customFormat="1" ht="22.5" x14ac:dyDescent="0.25">
      <c r="B90" s="27">
        <f t="shared" si="3"/>
        <v>75</v>
      </c>
      <c r="C90" s="27" t="s">
        <v>39</v>
      </c>
      <c r="D90" s="28">
        <v>30476592</v>
      </c>
      <c r="E90" s="29" t="s">
        <v>1878</v>
      </c>
      <c r="F90" s="29" t="s">
        <v>54</v>
      </c>
      <c r="G90" s="30" t="s">
        <v>1761</v>
      </c>
      <c r="H90" s="29" t="s">
        <v>1793</v>
      </c>
      <c r="I90" s="29" t="s">
        <v>1763</v>
      </c>
      <c r="J90" s="29">
        <v>702911</v>
      </c>
      <c r="K90" s="29"/>
      <c r="L90" s="29"/>
      <c r="M90" s="31">
        <v>0</v>
      </c>
      <c r="N90" s="31">
        <v>0</v>
      </c>
      <c r="O90" s="31">
        <v>0</v>
      </c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6"/>
        <v>0</v>
      </c>
      <c r="Z90" s="29">
        <v>1000</v>
      </c>
      <c r="AA90" s="29">
        <v>1</v>
      </c>
      <c r="AB90" s="408">
        <v>44207</v>
      </c>
      <c r="AC90" s="408">
        <v>44249</v>
      </c>
      <c r="AD90" s="29"/>
      <c r="AE90" s="29"/>
      <c r="AF90" s="408"/>
      <c r="AG90" s="29"/>
      <c r="AH90" s="29"/>
      <c r="AI90" s="29"/>
      <c r="AJ90" s="408"/>
      <c r="AK90" s="29"/>
      <c r="AL90" s="29"/>
      <c r="AM90" s="29"/>
      <c r="AN90" s="408"/>
      <c r="AO90" s="89"/>
      <c r="AP90" s="29"/>
      <c r="AQ90" s="29"/>
      <c r="AR90" s="408"/>
      <c r="AS90" s="89"/>
      <c r="AT90" s="37">
        <f t="shared" si="4"/>
        <v>1000</v>
      </c>
      <c r="AU90" s="38">
        <f t="shared" si="5"/>
        <v>1000</v>
      </c>
    </row>
    <row r="91" spans="2:47" s="26" customFormat="1" ht="22.5" x14ac:dyDescent="0.25">
      <c r="B91" s="27">
        <f t="shared" si="3"/>
        <v>76</v>
      </c>
      <c r="C91" s="27" t="s">
        <v>39</v>
      </c>
      <c r="D91" s="28">
        <v>30479437</v>
      </c>
      <c r="E91" s="29" t="s">
        <v>1879</v>
      </c>
      <c r="F91" s="29" t="s">
        <v>54</v>
      </c>
      <c r="G91" s="30" t="s">
        <v>1761</v>
      </c>
      <c r="H91" s="29" t="s">
        <v>1855</v>
      </c>
      <c r="I91" s="29" t="s">
        <v>1763</v>
      </c>
      <c r="J91" s="29">
        <v>596175</v>
      </c>
      <c r="K91" s="29"/>
      <c r="L91" s="29"/>
      <c r="M91" s="31">
        <v>0</v>
      </c>
      <c r="N91" s="31">
        <v>0</v>
      </c>
      <c r="O91" s="31">
        <v>0</v>
      </c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6"/>
        <v>0</v>
      </c>
      <c r="Z91" s="29">
        <v>1000</v>
      </c>
      <c r="AA91" s="29">
        <v>1</v>
      </c>
      <c r="AB91" s="408">
        <v>44207</v>
      </c>
      <c r="AC91" s="408">
        <v>44249</v>
      </c>
      <c r="AD91" s="29"/>
      <c r="AE91" s="29"/>
      <c r="AF91" s="408"/>
      <c r="AG91" s="29"/>
      <c r="AH91" s="29"/>
      <c r="AI91" s="29"/>
      <c r="AJ91" s="408"/>
      <c r="AK91" s="29"/>
      <c r="AL91" s="29"/>
      <c r="AM91" s="29"/>
      <c r="AN91" s="408"/>
      <c r="AO91" s="89"/>
      <c r="AP91" s="29"/>
      <c r="AQ91" s="29"/>
      <c r="AR91" s="408"/>
      <c r="AS91" s="89"/>
      <c r="AT91" s="37">
        <f t="shared" si="4"/>
        <v>1000</v>
      </c>
      <c r="AU91" s="38">
        <f t="shared" si="5"/>
        <v>1000</v>
      </c>
    </row>
    <row r="92" spans="2:47" s="26" customFormat="1" ht="22.5" x14ac:dyDescent="0.25">
      <c r="B92" s="27">
        <f t="shared" si="3"/>
        <v>77</v>
      </c>
      <c r="C92" s="27" t="s">
        <v>39</v>
      </c>
      <c r="D92" s="28">
        <v>30480702</v>
      </c>
      <c r="E92" s="29" t="s">
        <v>1880</v>
      </c>
      <c r="F92" s="29" t="s">
        <v>60</v>
      </c>
      <c r="G92" s="30" t="s">
        <v>1761</v>
      </c>
      <c r="H92" s="29" t="s">
        <v>1881</v>
      </c>
      <c r="I92" s="29" t="s">
        <v>1763</v>
      </c>
      <c r="J92" s="29">
        <v>621422</v>
      </c>
      <c r="K92" s="29"/>
      <c r="L92" s="29"/>
      <c r="M92" s="31">
        <v>0</v>
      </c>
      <c r="N92" s="31">
        <v>0</v>
      </c>
      <c r="O92" s="31">
        <v>44619.853000000003</v>
      </c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6"/>
        <v>44619.853000000003</v>
      </c>
      <c r="Z92" s="29">
        <v>1000</v>
      </c>
      <c r="AA92" s="29">
        <v>1</v>
      </c>
      <c r="AB92" s="408">
        <v>44207</v>
      </c>
      <c r="AC92" s="408">
        <v>44249</v>
      </c>
      <c r="AD92" s="29"/>
      <c r="AE92" s="29"/>
      <c r="AF92" s="408"/>
      <c r="AG92" s="29"/>
      <c r="AH92" s="29"/>
      <c r="AI92" s="29"/>
      <c r="AJ92" s="408"/>
      <c r="AK92" s="29"/>
      <c r="AL92" s="29"/>
      <c r="AM92" s="29"/>
      <c r="AN92" s="408"/>
      <c r="AO92" s="89"/>
      <c r="AP92" s="29"/>
      <c r="AQ92" s="29"/>
      <c r="AR92" s="408"/>
      <c r="AS92" s="89"/>
      <c r="AT92" s="37">
        <f t="shared" si="4"/>
        <v>1000</v>
      </c>
      <c r="AU92" s="38">
        <f t="shared" si="5"/>
        <v>-43619.853000000003</v>
      </c>
    </row>
    <row r="93" spans="2:47" s="26" customFormat="1" ht="22.5" x14ac:dyDescent="0.25">
      <c r="B93" s="27">
        <f t="shared" si="3"/>
        <v>78</v>
      </c>
      <c r="C93" s="27" t="s">
        <v>43</v>
      </c>
      <c r="D93" s="28">
        <v>30482317</v>
      </c>
      <c r="E93" s="29" t="s">
        <v>1882</v>
      </c>
      <c r="F93" s="29" t="s">
        <v>54</v>
      </c>
      <c r="G93" s="30" t="s">
        <v>1761</v>
      </c>
      <c r="H93" s="29" t="s">
        <v>1814</v>
      </c>
      <c r="I93" s="29" t="s">
        <v>1763</v>
      </c>
      <c r="J93" s="29">
        <v>251172</v>
      </c>
      <c r="K93" s="29"/>
      <c r="L93" s="29"/>
      <c r="M93" s="31">
        <v>0</v>
      </c>
      <c r="N93" s="31">
        <v>0</v>
      </c>
      <c r="O93" s="31">
        <v>0</v>
      </c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6"/>
        <v>0</v>
      </c>
      <c r="Z93" s="29">
        <v>1000</v>
      </c>
      <c r="AA93" s="29">
        <v>1</v>
      </c>
      <c r="AB93" s="408">
        <v>44207</v>
      </c>
      <c r="AC93" s="408">
        <v>44249</v>
      </c>
      <c r="AD93" s="29"/>
      <c r="AE93" s="29"/>
      <c r="AF93" s="408"/>
      <c r="AG93" s="29"/>
      <c r="AH93" s="29"/>
      <c r="AI93" s="29"/>
      <c r="AJ93" s="408"/>
      <c r="AK93" s="29"/>
      <c r="AL93" s="29"/>
      <c r="AM93" s="29"/>
      <c r="AN93" s="408"/>
      <c r="AO93" s="89"/>
      <c r="AP93" s="29"/>
      <c r="AQ93" s="29"/>
      <c r="AR93" s="408"/>
      <c r="AS93" s="89"/>
      <c r="AT93" s="37">
        <f t="shared" si="4"/>
        <v>1000</v>
      </c>
      <c r="AU93" s="38">
        <f t="shared" si="5"/>
        <v>1000</v>
      </c>
    </row>
    <row r="94" spans="2:47" s="26" customFormat="1" ht="22.5" x14ac:dyDescent="0.25">
      <c r="B94" s="27">
        <f t="shared" si="3"/>
        <v>79</v>
      </c>
      <c r="C94" s="27" t="s">
        <v>39</v>
      </c>
      <c r="D94" s="28">
        <v>30483517</v>
      </c>
      <c r="E94" s="29" t="s">
        <v>1883</v>
      </c>
      <c r="F94" s="29" t="s">
        <v>54</v>
      </c>
      <c r="G94" s="30" t="s">
        <v>1761</v>
      </c>
      <c r="H94" s="29" t="s">
        <v>1834</v>
      </c>
      <c r="I94" s="29" t="s">
        <v>1808</v>
      </c>
      <c r="J94" s="29">
        <v>1500991</v>
      </c>
      <c r="K94" s="29"/>
      <c r="L94" s="29"/>
      <c r="M94" s="31">
        <v>0</v>
      </c>
      <c r="N94" s="31">
        <v>0</v>
      </c>
      <c r="O94" s="31">
        <v>0</v>
      </c>
      <c r="P94" s="31"/>
      <c r="Q94" s="31"/>
      <c r="R94" s="31"/>
      <c r="S94" s="31"/>
      <c r="T94" s="31"/>
      <c r="U94" s="31"/>
      <c r="V94" s="31"/>
      <c r="W94" s="31"/>
      <c r="X94" s="31"/>
      <c r="Y94" s="31">
        <f t="shared" si="6"/>
        <v>0</v>
      </c>
      <c r="Z94" s="29">
        <v>1000</v>
      </c>
      <c r="AA94" s="29">
        <v>1</v>
      </c>
      <c r="AB94" s="408">
        <v>44207</v>
      </c>
      <c r="AC94" s="408">
        <v>44249</v>
      </c>
      <c r="AD94" s="29"/>
      <c r="AE94" s="29"/>
      <c r="AF94" s="408"/>
      <c r="AG94" s="29"/>
      <c r="AH94" s="29"/>
      <c r="AI94" s="29"/>
      <c r="AJ94" s="408"/>
      <c r="AK94" s="29"/>
      <c r="AL94" s="29"/>
      <c r="AM94" s="29"/>
      <c r="AN94" s="408"/>
      <c r="AO94" s="89"/>
      <c r="AP94" s="29"/>
      <c r="AQ94" s="29"/>
      <c r="AR94" s="408"/>
      <c r="AS94" s="89"/>
      <c r="AT94" s="37">
        <f t="shared" si="4"/>
        <v>1000</v>
      </c>
      <c r="AU94" s="38">
        <f t="shared" si="5"/>
        <v>1000</v>
      </c>
    </row>
    <row r="95" spans="2:47" s="26" customFormat="1" ht="22.5" x14ac:dyDescent="0.25">
      <c r="B95" s="27">
        <f t="shared" si="3"/>
        <v>80</v>
      </c>
      <c r="C95" s="27" t="s">
        <v>39</v>
      </c>
      <c r="D95" s="28">
        <v>30483641</v>
      </c>
      <c r="E95" s="29" t="s">
        <v>1884</v>
      </c>
      <c r="F95" s="29" t="s">
        <v>54</v>
      </c>
      <c r="G95" s="30" t="s">
        <v>1761</v>
      </c>
      <c r="H95" s="29" t="s">
        <v>1787</v>
      </c>
      <c r="I95" s="29" t="s">
        <v>1763</v>
      </c>
      <c r="J95" s="29">
        <v>31244</v>
      </c>
      <c r="K95" s="29"/>
      <c r="L95" s="29"/>
      <c r="M95" s="31">
        <v>0</v>
      </c>
      <c r="N95" s="31">
        <v>0</v>
      </c>
      <c r="O95" s="31">
        <v>0</v>
      </c>
      <c r="P95" s="31"/>
      <c r="Q95" s="31"/>
      <c r="R95" s="31"/>
      <c r="S95" s="31"/>
      <c r="T95" s="31"/>
      <c r="U95" s="31"/>
      <c r="V95" s="31"/>
      <c r="W95" s="31"/>
      <c r="X95" s="31"/>
      <c r="Y95" s="31">
        <f t="shared" si="6"/>
        <v>0</v>
      </c>
      <c r="Z95" s="29">
        <v>1000</v>
      </c>
      <c r="AA95" s="29">
        <v>1</v>
      </c>
      <c r="AB95" s="408">
        <v>44207</v>
      </c>
      <c r="AC95" s="408">
        <v>44249</v>
      </c>
      <c r="AD95" s="29"/>
      <c r="AE95" s="29"/>
      <c r="AF95" s="408"/>
      <c r="AG95" s="29"/>
      <c r="AH95" s="29"/>
      <c r="AI95" s="29"/>
      <c r="AJ95" s="408"/>
      <c r="AK95" s="29"/>
      <c r="AL95" s="29"/>
      <c r="AM95" s="29"/>
      <c r="AN95" s="408"/>
      <c r="AO95" s="89"/>
      <c r="AP95" s="29"/>
      <c r="AQ95" s="29"/>
      <c r="AR95" s="408"/>
      <c r="AS95" s="89"/>
      <c r="AT95" s="37">
        <f t="shared" si="4"/>
        <v>1000</v>
      </c>
      <c r="AU95" s="38">
        <f t="shared" si="5"/>
        <v>1000</v>
      </c>
    </row>
    <row r="96" spans="2:47" s="26" customFormat="1" ht="33.75" x14ac:dyDescent="0.25">
      <c r="B96" s="27">
        <f t="shared" si="3"/>
        <v>81</v>
      </c>
      <c r="C96" s="27" t="s">
        <v>39</v>
      </c>
      <c r="D96" s="28">
        <v>30484245</v>
      </c>
      <c r="E96" s="29" t="s">
        <v>1885</v>
      </c>
      <c r="F96" s="29" t="s">
        <v>54</v>
      </c>
      <c r="G96" s="30" t="s">
        <v>1761</v>
      </c>
      <c r="H96" s="29" t="s">
        <v>1830</v>
      </c>
      <c r="I96" s="29" t="s">
        <v>1763</v>
      </c>
      <c r="J96" s="29">
        <v>2060782</v>
      </c>
      <c r="K96" s="29"/>
      <c r="L96" s="29"/>
      <c r="M96" s="31">
        <v>0</v>
      </c>
      <c r="N96" s="31">
        <v>0</v>
      </c>
      <c r="O96" s="31">
        <v>0</v>
      </c>
      <c r="P96" s="31"/>
      <c r="Q96" s="31"/>
      <c r="R96" s="31"/>
      <c r="S96" s="31"/>
      <c r="T96" s="31"/>
      <c r="U96" s="31"/>
      <c r="V96" s="31"/>
      <c r="W96" s="31"/>
      <c r="X96" s="31"/>
      <c r="Y96" s="31">
        <f t="shared" si="6"/>
        <v>0</v>
      </c>
      <c r="Z96" s="29">
        <v>1000</v>
      </c>
      <c r="AA96" s="29">
        <v>1</v>
      </c>
      <c r="AB96" s="408">
        <v>44207</v>
      </c>
      <c r="AC96" s="408">
        <v>44249</v>
      </c>
      <c r="AD96" s="29"/>
      <c r="AE96" s="29"/>
      <c r="AF96" s="408"/>
      <c r="AG96" s="29"/>
      <c r="AH96" s="29"/>
      <c r="AI96" s="29"/>
      <c r="AJ96" s="408"/>
      <c r="AK96" s="29"/>
      <c r="AL96" s="29"/>
      <c r="AM96" s="29"/>
      <c r="AN96" s="408"/>
      <c r="AO96" s="89"/>
      <c r="AP96" s="29"/>
      <c r="AQ96" s="29"/>
      <c r="AR96" s="408"/>
      <c r="AS96" s="89"/>
      <c r="AT96" s="37">
        <f t="shared" si="4"/>
        <v>1000</v>
      </c>
      <c r="AU96" s="38">
        <f t="shared" si="5"/>
        <v>1000</v>
      </c>
    </row>
    <row r="97" spans="2:47" s="26" customFormat="1" ht="22.5" x14ac:dyDescent="0.25">
      <c r="B97" s="27">
        <f t="shared" si="3"/>
        <v>82</v>
      </c>
      <c r="C97" s="27" t="s">
        <v>39</v>
      </c>
      <c r="D97" s="28">
        <v>30484489</v>
      </c>
      <c r="E97" s="29" t="s">
        <v>1886</v>
      </c>
      <c r="F97" s="29" t="s">
        <v>54</v>
      </c>
      <c r="G97" s="30" t="s">
        <v>1761</v>
      </c>
      <c r="H97" s="29" t="s">
        <v>1795</v>
      </c>
      <c r="I97" s="29" t="s">
        <v>1763</v>
      </c>
      <c r="J97" s="29">
        <v>91242</v>
      </c>
      <c r="K97" s="29"/>
      <c r="L97" s="29"/>
      <c r="M97" s="31">
        <v>21081.200000000001</v>
      </c>
      <c r="N97" s="31">
        <v>2500</v>
      </c>
      <c r="O97" s="31">
        <v>1250</v>
      </c>
      <c r="P97" s="31"/>
      <c r="Q97" s="31"/>
      <c r="R97" s="31"/>
      <c r="S97" s="31"/>
      <c r="T97" s="31"/>
      <c r="U97" s="31"/>
      <c r="V97" s="31"/>
      <c r="W97" s="31"/>
      <c r="X97" s="31"/>
      <c r="Y97" s="31">
        <f t="shared" si="6"/>
        <v>24831.200000000001</v>
      </c>
      <c r="Z97" s="29">
        <v>1000</v>
      </c>
      <c r="AA97" s="29">
        <v>1</v>
      </c>
      <c r="AB97" s="408">
        <v>44207</v>
      </c>
      <c r="AC97" s="408">
        <v>44249</v>
      </c>
      <c r="AD97" s="29">
        <v>80000</v>
      </c>
      <c r="AE97" s="29">
        <v>4</v>
      </c>
      <c r="AF97" s="408">
        <v>44221</v>
      </c>
      <c r="AG97" s="408">
        <v>44280</v>
      </c>
      <c r="AH97" s="29"/>
      <c r="AI97" s="29"/>
      <c r="AJ97" s="408"/>
      <c r="AK97" s="29"/>
      <c r="AL97" s="29"/>
      <c r="AM97" s="29"/>
      <c r="AN97" s="408"/>
      <c r="AO97" s="89"/>
      <c r="AP97" s="29"/>
      <c r="AQ97" s="29"/>
      <c r="AR97" s="408"/>
      <c r="AS97" s="89"/>
      <c r="AT97" s="37">
        <f t="shared" si="4"/>
        <v>81000</v>
      </c>
      <c r="AU97" s="38">
        <f t="shared" si="5"/>
        <v>56168.800000000003</v>
      </c>
    </row>
    <row r="98" spans="2:47" s="26" customFormat="1" ht="22.5" x14ac:dyDescent="0.25">
      <c r="B98" s="27">
        <f t="shared" si="3"/>
        <v>83</v>
      </c>
      <c r="C98" s="27" t="s">
        <v>39</v>
      </c>
      <c r="D98" s="28">
        <v>30484574</v>
      </c>
      <c r="E98" s="29" t="s">
        <v>1887</v>
      </c>
      <c r="F98" s="29" t="s">
        <v>54</v>
      </c>
      <c r="G98" s="30" t="s">
        <v>1761</v>
      </c>
      <c r="H98" s="29" t="s">
        <v>1888</v>
      </c>
      <c r="I98" s="29" t="s">
        <v>1763</v>
      </c>
      <c r="J98" s="29">
        <v>228500</v>
      </c>
      <c r="K98" s="29"/>
      <c r="L98" s="29"/>
      <c r="M98" s="31">
        <v>79106.737999999998</v>
      </c>
      <c r="N98" s="31">
        <v>55722.449000000001</v>
      </c>
      <c r="O98" s="31">
        <v>0</v>
      </c>
      <c r="P98" s="31"/>
      <c r="Q98" s="31"/>
      <c r="R98" s="31"/>
      <c r="S98" s="31"/>
      <c r="T98" s="31"/>
      <c r="U98" s="31"/>
      <c r="V98" s="31"/>
      <c r="W98" s="31"/>
      <c r="X98" s="31"/>
      <c r="Y98" s="31">
        <f t="shared" si="6"/>
        <v>134829.18700000001</v>
      </c>
      <c r="Z98" s="29">
        <v>160000</v>
      </c>
      <c r="AA98" s="29">
        <v>4</v>
      </c>
      <c r="AB98" s="408">
        <v>44221</v>
      </c>
      <c r="AC98" s="408">
        <v>44280</v>
      </c>
      <c r="AD98" s="29"/>
      <c r="AE98" s="29"/>
      <c r="AF98" s="408"/>
      <c r="AG98" s="29"/>
      <c r="AH98" s="29"/>
      <c r="AI98" s="29"/>
      <c r="AJ98" s="408"/>
      <c r="AK98" s="29"/>
      <c r="AL98" s="29"/>
      <c r="AM98" s="29"/>
      <c r="AN98" s="408"/>
      <c r="AO98" s="89"/>
      <c r="AP98" s="29"/>
      <c r="AQ98" s="29"/>
      <c r="AR98" s="408"/>
      <c r="AS98" s="89"/>
      <c r="AT98" s="37">
        <f t="shared" si="4"/>
        <v>160000</v>
      </c>
      <c r="AU98" s="38">
        <f t="shared" si="5"/>
        <v>25170.812999999995</v>
      </c>
    </row>
    <row r="99" spans="2:47" s="26" customFormat="1" ht="22.5" x14ac:dyDescent="0.25">
      <c r="B99" s="27">
        <f t="shared" si="3"/>
        <v>84</v>
      </c>
      <c r="C99" s="27" t="s">
        <v>39</v>
      </c>
      <c r="D99" s="28">
        <v>30485484</v>
      </c>
      <c r="E99" s="29" t="s">
        <v>1889</v>
      </c>
      <c r="F99" s="29" t="s">
        <v>54</v>
      </c>
      <c r="G99" s="30" t="s">
        <v>1761</v>
      </c>
      <c r="H99" s="29" t="s">
        <v>1769</v>
      </c>
      <c r="I99" s="29" t="s">
        <v>1808</v>
      </c>
      <c r="J99" s="29">
        <v>1840</v>
      </c>
      <c r="K99" s="29"/>
      <c r="L99" s="29"/>
      <c r="M99" s="31">
        <v>0</v>
      </c>
      <c r="N99" s="31">
        <v>0</v>
      </c>
      <c r="O99" s="31">
        <v>0</v>
      </c>
      <c r="P99" s="31"/>
      <c r="Q99" s="31"/>
      <c r="R99" s="31"/>
      <c r="S99" s="31"/>
      <c r="T99" s="31"/>
      <c r="U99" s="31"/>
      <c r="V99" s="31"/>
      <c r="W99" s="31"/>
      <c r="X99" s="31"/>
      <c r="Y99" s="31">
        <f t="shared" si="6"/>
        <v>0</v>
      </c>
      <c r="Z99" s="29">
        <v>1000</v>
      </c>
      <c r="AA99" s="29">
        <v>1</v>
      </c>
      <c r="AB99" s="408">
        <v>44207</v>
      </c>
      <c r="AC99" s="408">
        <v>44249</v>
      </c>
      <c r="AD99" s="29"/>
      <c r="AE99" s="29"/>
      <c r="AF99" s="408"/>
      <c r="AG99" s="29"/>
      <c r="AH99" s="29"/>
      <c r="AI99" s="29"/>
      <c r="AJ99" s="408"/>
      <c r="AK99" s="29"/>
      <c r="AL99" s="29"/>
      <c r="AM99" s="29"/>
      <c r="AN99" s="408"/>
      <c r="AO99" s="89"/>
      <c r="AP99" s="29"/>
      <c r="AQ99" s="29"/>
      <c r="AR99" s="408"/>
      <c r="AS99" s="89"/>
      <c r="AT99" s="37">
        <f t="shared" si="4"/>
        <v>1000</v>
      </c>
      <c r="AU99" s="38">
        <f t="shared" si="5"/>
        <v>1000</v>
      </c>
    </row>
    <row r="100" spans="2:47" s="26" customFormat="1" ht="22.5" x14ac:dyDescent="0.25">
      <c r="B100" s="27">
        <f t="shared" si="3"/>
        <v>85</v>
      </c>
      <c r="C100" s="27" t="s">
        <v>39</v>
      </c>
      <c r="D100" s="28">
        <v>30486419</v>
      </c>
      <c r="E100" s="29" t="s">
        <v>1890</v>
      </c>
      <c r="F100" s="29" t="s">
        <v>54</v>
      </c>
      <c r="G100" s="30" t="s">
        <v>1761</v>
      </c>
      <c r="H100" s="29" t="s">
        <v>1891</v>
      </c>
      <c r="I100" s="29" t="s">
        <v>1763</v>
      </c>
      <c r="J100" s="29">
        <v>469931</v>
      </c>
      <c r="K100" s="29"/>
      <c r="L100" s="29"/>
      <c r="M100" s="31">
        <v>0</v>
      </c>
      <c r="N100" s="31">
        <v>0</v>
      </c>
      <c r="O100" s="31">
        <v>0</v>
      </c>
      <c r="P100" s="31"/>
      <c r="Q100" s="31"/>
      <c r="R100" s="31"/>
      <c r="S100" s="31"/>
      <c r="T100" s="31"/>
      <c r="U100" s="31"/>
      <c r="V100" s="31"/>
      <c r="W100" s="31"/>
      <c r="X100" s="31"/>
      <c r="Y100" s="31">
        <f t="shared" si="6"/>
        <v>0</v>
      </c>
      <c r="Z100" s="29">
        <v>1000</v>
      </c>
      <c r="AA100" s="29">
        <v>1</v>
      </c>
      <c r="AB100" s="408">
        <v>44207</v>
      </c>
      <c r="AC100" s="408">
        <v>44249</v>
      </c>
      <c r="AD100" s="29"/>
      <c r="AE100" s="29"/>
      <c r="AF100" s="408"/>
      <c r="AG100" s="29"/>
      <c r="AH100" s="29"/>
      <c r="AI100" s="29"/>
      <c r="AJ100" s="408"/>
      <c r="AK100" s="29"/>
      <c r="AL100" s="29"/>
      <c r="AM100" s="29"/>
      <c r="AN100" s="408"/>
      <c r="AO100" s="89"/>
      <c r="AP100" s="29"/>
      <c r="AQ100" s="29"/>
      <c r="AR100" s="408"/>
      <c r="AS100" s="89"/>
      <c r="AT100" s="37">
        <f t="shared" si="4"/>
        <v>1000</v>
      </c>
      <c r="AU100" s="38">
        <f t="shared" si="5"/>
        <v>1000</v>
      </c>
    </row>
    <row r="101" spans="2:47" s="26" customFormat="1" ht="22.5" x14ac:dyDescent="0.25">
      <c r="B101" s="27">
        <f t="shared" si="3"/>
        <v>86</v>
      </c>
      <c r="C101" s="27" t="s">
        <v>39</v>
      </c>
      <c r="D101" s="28">
        <v>30486659</v>
      </c>
      <c r="E101" s="29" t="s">
        <v>1892</v>
      </c>
      <c r="F101" s="29" t="s">
        <v>54</v>
      </c>
      <c r="G101" s="30" t="s">
        <v>1761</v>
      </c>
      <c r="H101" s="29" t="s">
        <v>1836</v>
      </c>
      <c r="I101" s="29" t="s">
        <v>1763</v>
      </c>
      <c r="J101" s="29">
        <v>615872</v>
      </c>
      <c r="K101" s="29"/>
      <c r="L101" s="29"/>
      <c r="M101" s="31">
        <v>0</v>
      </c>
      <c r="N101" s="31">
        <v>0</v>
      </c>
      <c r="O101" s="31">
        <v>0</v>
      </c>
      <c r="P101" s="31"/>
      <c r="Q101" s="31"/>
      <c r="R101" s="31"/>
      <c r="S101" s="31"/>
      <c r="T101" s="31"/>
      <c r="U101" s="31"/>
      <c r="V101" s="31"/>
      <c r="W101" s="31"/>
      <c r="X101" s="31"/>
      <c r="Y101" s="31">
        <f t="shared" si="6"/>
        <v>0</v>
      </c>
      <c r="Z101" s="29">
        <v>1000</v>
      </c>
      <c r="AA101" s="29">
        <v>1</v>
      </c>
      <c r="AB101" s="408">
        <v>44207</v>
      </c>
      <c r="AC101" s="408">
        <v>44249</v>
      </c>
      <c r="AD101" s="29">
        <v>200000</v>
      </c>
      <c r="AE101" s="29">
        <v>4</v>
      </c>
      <c r="AF101" s="408">
        <v>44221</v>
      </c>
      <c r="AG101" s="408">
        <v>44280</v>
      </c>
      <c r="AH101" s="29"/>
      <c r="AI101" s="29"/>
      <c r="AJ101" s="408"/>
      <c r="AK101" s="29"/>
      <c r="AL101" s="29"/>
      <c r="AM101" s="29"/>
      <c r="AN101" s="408"/>
      <c r="AO101" s="89"/>
      <c r="AP101" s="29"/>
      <c r="AQ101" s="29"/>
      <c r="AR101" s="408"/>
      <c r="AS101" s="89"/>
      <c r="AT101" s="37">
        <f t="shared" si="4"/>
        <v>201000</v>
      </c>
      <c r="AU101" s="38">
        <f t="shared" si="5"/>
        <v>201000</v>
      </c>
    </row>
    <row r="102" spans="2:47" s="26" customFormat="1" ht="22.5" x14ac:dyDescent="0.25">
      <c r="B102" s="27">
        <f t="shared" si="3"/>
        <v>87</v>
      </c>
      <c r="C102" s="27" t="s">
        <v>39</v>
      </c>
      <c r="D102" s="28">
        <v>30486687</v>
      </c>
      <c r="E102" s="29" t="s">
        <v>1893</v>
      </c>
      <c r="F102" s="29" t="s">
        <v>54</v>
      </c>
      <c r="G102" s="30" t="s">
        <v>1761</v>
      </c>
      <c r="H102" s="29" t="s">
        <v>1769</v>
      </c>
      <c r="I102" s="29" t="s">
        <v>1763</v>
      </c>
      <c r="J102" s="29">
        <v>144375</v>
      </c>
      <c r="K102" s="29"/>
      <c r="L102" s="29"/>
      <c r="M102" s="31">
        <v>74813.534</v>
      </c>
      <c r="N102" s="31">
        <v>0</v>
      </c>
      <c r="O102" s="31">
        <v>69560.493000000002</v>
      </c>
      <c r="P102" s="31"/>
      <c r="Q102" s="31"/>
      <c r="R102" s="31"/>
      <c r="S102" s="31"/>
      <c r="T102" s="31"/>
      <c r="U102" s="31"/>
      <c r="V102" s="31"/>
      <c r="W102" s="31"/>
      <c r="X102" s="31"/>
      <c r="Y102" s="31">
        <f t="shared" si="6"/>
        <v>144374.027</v>
      </c>
      <c r="Z102" s="29">
        <v>144374</v>
      </c>
      <c r="AA102" s="29">
        <v>4</v>
      </c>
      <c r="AB102" s="408">
        <v>44221</v>
      </c>
      <c r="AC102" s="408">
        <v>44280</v>
      </c>
      <c r="AD102" s="29"/>
      <c r="AE102" s="29"/>
      <c r="AF102" s="408"/>
      <c r="AG102" s="29"/>
      <c r="AH102" s="29"/>
      <c r="AI102" s="29"/>
      <c r="AJ102" s="408"/>
      <c r="AK102" s="29"/>
      <c r="AL102" s="29"/>
      <c r="AM102" s="29"/>
      <c r="AN102" s="408"/>
      <c r="AO102" s="89"/>
      <c r="AP102" s="29"/>
      <c r="AQ102" s="29"/>
      <c r="AR102" s="408"/>
      <c r="AS102" s="89"/>
      <c r="AT102" s="37">
        <f t="shared" si="4"/>
        <v>144374</v>
      </c>
      <c r="AU102" s="38">
        <f t="shared" si="5"/>
        <v>-2.7000000001862645E-2</v>
      </c>
    </row>
    <row r="103" spans="2:47" s="26" customFormat="1" ht="22.5" x14ac:dyDescent="0.25">
      <c r="B103" s="27">
        <f t="shared" si="3"/>
        <v>88</v>
      </c>
      <c r="C103" s="27" t="s">
        <v>39</v>
      </c>
      <c r="D103" s="28">
        <v>30486983</v>
      </c>
      <c r="E103" s="29" t="s">
        <v>1894</v>
      </c>
      <c r="F103" s="29" t="s">
        <v>54</v>
      </c>
      <c r="G103" s="30" t="s">
        <v>1761</v>
      </c>
      <c r="H103" s="29" t="s">
        <v>1836</v>
      </c>
      <c r="I103" s="29" t="s">
        <v>1763</v>
      </c>
      <c r="J103" s="29">
        <v>1321691</v>
      </c>
      <c r="K103" s="29"/>
      <c r="L103" s="29"/>
      <c r="M103" s="31">
        <v>0</v>
      </c>
      <c r="N103" s="31">
        <v>0</v>
      </c>
      <c r="O103" s="31">
        <v>0</v>
      </c>
      <c r="P103" s="31"/>
      <c r="Q103" s="31"/>
      <c r="R103" s="31"/>
      <c r="S103" s="31"/>
      <c r="T103" s="31"/>
      <c r="U103" s="31"/>
      <c r="V103" s="31"/>
      <c r="W103" s="31"/>
      <c r="X103" s="31"/>
      <c r="Y103" s="31">
        <f t="shared" si="6"/>
        <v>0</v>
      </c>
      <c r="Z103" s="29">
        <v>1000</v>
      </c>
      <c r="AA103" s="29">
        <v>1</v>
      </c>
      <c r="AB103" s="408">
        <v>44207</v>
      </c>
      <c r="AC103" s="408">
        <v>44249</v>
      </c>
      <c r="AD103" s="29">
        <v>600000</v>
      </c>
      <c r="AE103" s="29">
        <v>4</v>
      </c>
      <c r="AF103" s="408">
        <v>44221</v>
      </c>
      <c r="AG103" s="408">
        <v>44280</v>
      </c>
      <c r="AH103" s="29"/>
      <c r="AI103" s="29"/>
      <c r="AJ103" s="408"/>
      <c r="AK103" s="29"/>
      <c r="AL103" s="29"/>
      <c r="AM103" s="29"/>
      <c r="AN103" s="408"/>
      <c r="AO103" s="89"/>
      <c r="AP103" s="29"/>
      <c r="AQ103" s="29"/>
      <c r="AR103" s="408"/>
      <c r="AS103" s="89"/>
      <c r="AT103" s="37">
        <f t="shared" si="4"/>
        <v>601000</v>
      </c>
      <c r="AU103" s="38">
        <f t="shared" si="5"/>
        <v>601000</v>
      </c>
    </row>
    <row r="104" spans="2:47" s="26" customFormat="1" ht="22.5" x14ac:dyDescent="0.25">
      <c r="B104" s="27">
        <f t="shared" si="3"/>
        <v>89</v>
      </c>
      <c r="C104" s="27" t="s">
        <v>39</v>
      </c>
      <c r="D104" s="28">
        <v>30487072</v>
      </c>
      <c r="E104" s="29" t="s">
        <v>1895</v>
      </c>
      <c r="F104" s="29" t="s">
        <v>54</v>
      </c>
      <c r="G104" s="30" t="s">
        <v>1761</v>
      </c>
      <c r="H104" s="29" t="s">
        <v>1814</v>
      </c>
      <c r="I104" s="29" t="s">
        <v>1763</v>
      </c>
      <c r="J104" s="29">
        <v>1482032</v>
      </c>
      <c r="K104" s="29"/>
      <c r="L104" s="29"/>
      <c r="M104" s="31">
        <v>0</v>
      </c>
      <c r="N104" s="31">
        <v>0</v>
      </c>
      <c r="O104" s="31">
        <v>0</v>
      </c>
      <c r="P104" s="31"/>
      <c r="Q104" s="31"/>
      <c r="R104" s="31"/>
      <c r="S104" s="31"/>
      <c r="T104" s="31"/>
      <c r="U104" s="31"/>
      <c r="V104" s="31"/>
      <c r="W104" s="31"/>
      <c r="X104" s="31"/>
      <c r="Y104" s="31">
        <f t="shared" si="6"/>
        <v>0</v>
      </c>
      <c r="Z104" s="29">
        <v>1000</v>
      </c>
      <c r="AA104" s="29">
        <v>1</v>
      </c>
      <c r="AB104" s="408">
        <v>44207</v>
      </c>
      <c r="AC104" s="408">
        <v>44249</v>
      </c>
      <c r="AD104" s="29"/>
      <c r="AE104" s="29"/>
      <c r="AF104" s="408"/>
      <c r="AG104" s="29"/>
      <c r="AH104" s="29"/>
      <c r="AI104" s="29"/>
      <c r="AJ104" s="408"/>
      <c r="AK104" s="29"/>
      <c r="AL104" s="29"/>
      <c r="AM104" s="29"/>
      <c r="AN104" s="408"/>
      <c r="AO104" s="89"/>
      <c r="AP104" s="29"/>
      <c r="AQ104" s="29"/>
      <c r="AR104" s="408"/>
      <c r="AS104" s="89"/>
      <c r="AT104" s="37">
        <f t="shared" si="4"/>
        <v>1000</v>
      </c>
      <c r="AU104" s="38">
        <f t="shared" si="5"/>
        <v>1000</v>
      </c>
    </row>
    <row r="105" spans="2:47" s="26" customFormat="1" ht="33.75" x14ac:dyDescent="0.25">
      <c r="B105" s="27">
        <f t="shared" si="3"/>
        <v>90</v>
      </c>
      <c r="C105" s="27" t="s">
        <v>39</v>
      </c>
      <c r="D105" s="28">
        <v>30487218</v>
      </c>
      <c r="E105" s="29" t="s">
        <v>1896</v>
      </c>
      <c r="F105" s="29" t="s">
        <v>54</v>
      </c>
      <c r="G105" s="30" t="s">
        <v>1761</v>
      </c>
      <c r="H105" s="29" t="s">
        <v>1806</v>
      </c>
      <c r="I105" s="29" t="s">
        <v>1763</v>
      </c>
      <c r="J105" s="29">
        <v>1345954</v>
      </c>
      <c r="K105" s="29"/>
      <c r="L105" s="29"/>
      <c r="M105" s="31">
        <v>0</v>
      </c>
      <c r="N105" s="31">
        <v>0</v>
      </c>
      <c r="O105" s="31">
        <v>0</v>
      </c>
      <c r="P105" s="31"/>
      <c r="Q105" s="31"/>
      <c r="R105" s="31"/>
      <c r="S105" s="31"/>
      <c r="T105" s="31"/>
      <c r="U105" s="31"/>
      <c r="V105" s="31"/>
      <c r="W105" s="31"/>
      <c r="X105" s="31"/>
      <c r="Y105" s="31">
        <f t="shared" si="6"/>
        <v>0</v>
      </c>
      <c r="Z105" s="29">
        <v>1000</v>
      </c>
      <c r="AA105" s="29">
        <v>1</v>
      </c>
      <c r="AB105" s="408">
        <v>44207</v>
      </c>
      <c r="AC105" s="408">
        <v>44249</v>
      </c>
      <c r="AD105" s="29"/>
      <c r="AE105" s="29"/>
      <c r="AF105" s="408"/>
      <c r="AG105" s="29"/>
      <c r="AH105" s="29"/>
      <c r="AI105" s="29"/>
      <c r="AJ105" s="408"/>
      <c r="AK105" s="29"/>
      <c r="AL105" s="29"/>
      <c r="AM105" s="29"/>
      <c r="AN105" s="408"/>
      <c r="AO105" s="89"/>
      <c r="AP105" s="29"/>
      <c r="AQ105" s="29"/>
      <c r="AR105" s="408"/>
      <c r="AS105" s="89"/>
      <c r="AT105" s="37">
        <f t="shared" si="4"/>
        <v>1000</v>
      </c>
      <c r="AU105" s="38">
        <f t="shared" si="5"/>
        <v>1000</v>
      </c>
    </row>
    <row r="106" spans="2:47" s="26" customFormat="1" ht="22.5" x14ac:dyDescent="0.25">
      <c r="B106" s="27">
        <f t="shared" si="3"/>
        <v>91</v>
      </c>
      <c r="C106" s="27" t="s">
        <v>39</v>
      </c>
      <c r="D106" s="28">
        <v>30487247</v>
      </c>
      <c r="E106" s="29" t="s">
        <v>1897</v>
      </c>
      <c r="F106" s="29" t="s">
        <v>54</v>
      </c>
      <c r="G106" s="30" t="s">
        <v>1761</v>
      </c>
      <c r="H106" s="29" t="s">
        <v>1898</v>
      </c>
      <c r="I106" s="29" t="s">
        <v>1763</v>
      </c>
      <c r="J106" s="29">
        <v>899492</v>
      </c>
      <c r="K106" s="29"/>
      <c r="L106" s="29"/>
      <c r="M106" s="31">
        <v>2600</v>
      </c>
      <c r="N106" s="31">
        <v>149555.424</v>
      </c>
      <c r="O106" s="31">
        <v>94612.672000000006</v>
      </c>
      <c r="P106" s="31"/>
      <c r="Q106" s="31"/>
      <c r="R106" s="31"/>
      <c r="S106" s="31"/>
      <c r="T106" s="31"/>
      <c r="U106" s="31"/>
      <c r="V106" s="31"/>
      <c r="W106" s="31"/>
      <c r="X106" s="31"/>
      <c r="Y106" s="31">
        <f t="shared" si="6"/>
        <v>246768.09600000002</v>
      </c>
      <c r="Z106" s="29">
        <v>6500</v>
      </c>
      <c r="AA106" s="29">
        <v>4</v>
      </c>
      <c r="AB106" s="408">
        <v>44221</v>
      </c>
      <c r="AC106" s="408">
        <v>44280</v>
      </c>
      <c r="AD106" s="29"/>
      <c r="AE106" s="29"/>
      <c r="AF106" s="408"/>
      <c r="AG106" s="29"/>
      <c r="AH106" s="29"/>
      <c r="AI106" s="29"/>
      <c r="AJ106" s="408"/>
      <c r="AK106" s="29"/>
      <c r="AL106" s="29"/>
      <c r="AM106" s="29"/>
      <c r="AN106" s="408"/>
      <c r="AO106" s="89"/>
      <c r="AP106" s="29"/>
      <c r="AQ106" s="29"/>
      <c r="AR106" s="408"/>
      <c r="AS106" s="89"/>
      <c r="AT106" s="37">
        <f t="shared" si="4"/>
        <v>6500</v>
      </c>
      <c r="AU106" s="38">
        <f t="shared" si="5"/>
        <v>-240268.09600000002</v>
      </c>
    </row>
    <row r="107" spans="2:47" s="26" customFormat="1" ht="22.5" x14ac:dyDescent="0.25">
      <c r="B107" s="27">
        <f t="shared" si="3"/>
        <v>92</v>
      </c>
      <c r="C107" s="27" t="s">
        <v>39</v>
      </c>
      <c r="D107" s="28">
        <v>30488914</v>
      </c>
      <c r="E107" s="29" t="s">
        <v>1899</v>
      </c>
      <c r="F107" s="29" t="s">
        <v>54</v>
      </c>
      <c r="G107" s="30" t="s">
        <v>1761</v>
      </c>
      <c r="H107" s="29" t="s">
        <v>1900</v>
      </c>
      <c r="I107" s="29" t="s">
        <v>1763</v>
      </c>
      <c r="J107" s="29">
        <v>90709</v>
      </c>
      <c r="K107" s="29"/>
      <c r="L107" s="29"/>
      <c r="M107" s="31">
        <v>90712.456999999995</v>
      </c>
      <c r="N107" s="31">
        <v>0</v>
      </c>
      <c r="O107" s="31">
        <v>0</v>
      </c>
      <c r="P107" s="31"/>
      <c r="Q107" s="31"/>
      <c r="R107" s="31"/>
      <c r="S107" s="31"/>
      <c r="T107" s="31"/>
      <c r="U107" s="31"/>
      <c r="V107" s="31"/>
      <c r="W107" s="31"/>
      <c r="X107" s="31"/>
      <c r="Y107" s="31">
        <f t="shared" si="6"/>
        <v>90712.456999999995</v>
      </c>
      <c r="Z107" s="29">
        <v>90708</v>
      </c>
      <c r="AA107" s="29">
        <v>4</v>
      </c>
      <c r="AB107" s="408">
        <v>44221</v>
      </c>
      <c r="AC107" s="408">
        <v>44280</v>
      </c>
      <c r="AD107" s="29"/>
      <c r="AE107" s="29"/>
      <c r="AF107" s="408"/>
      <c r="AG107" s="29"/>
      <c r="AH107" s="29"/>
      <c r="AI107" s="29"/>
      <c r="AJ107" s="408"/>
      <c r="AK107" s="29"/>
      <c r="AL107" s="29"/>
      <c r="AM107" s="29"/>
      <c r="AN107" s="408"/>
      <c r="AO107" s="89"/>
      <c r="AP107" s="29"/>
      <c r="AQ107" s="29"/>
      <c r="AR107" s="408"/>
      <c r="AS107" s="89"/>
      <c r="AT107" s="37">
        <f t="shared" si="4"/>
        <v>90708</v>
      </c>
      <c r="AU107" s="38">
        <f t="shared" si="5"/>
        <v>-4.4569999999948777</v>
      </c>
    </row>
    <row r="108" spans="2:47" s="26" customFormat="1" ht="22.5" x14ac:dyDescent="0.25">
      <c r="B108" s="27">
        <f t="shared" ref="B108:B171" si="7">+B107+1</f>
        <v>93</v>
      </c>
      <c r="C108" s="27" t="s">
        <v>39</v>
      </c>
      <c r="D108" s="28">
        <v>30488916</v>
      </c>
      <c r="E108" s="29" t="s">
        <v>1901</v>
      </c>
      <c r="F108" s="29" t="s">
        <v>54</v>
      </c>
      <c r="G108" s="30" t="s">
        <v>1761</v>
      </c>
      <c r="H108" s="29" t="s">
        <v>1900</v>
      </c>
      <c r="I108" s="29" t="s">
        <v>1763</v>
      </c>
      <c r="J108" s="29">
        <v>1067965</v>
      </c>
      <c r="K108" s="29"/>
      <c r="L108" s="29"/>
      <c r="M108" s="31">
        <v>0</v>
      </c>
      <c r="N108" s="31">
        <v>0</v>
      </c>
      <c r="O108" s="31">
        <v>0</v>
      </c>
      <c r="P108" s="31"/>
      <c r="Q108" s="31"/>
      <c r="R108" s="31"/>
      <c r="S108" s="31"/>
      <c r="T108" s="31"/>
      <c r="U108" s="31"/>
      <c r="V108" s="31"/>
      <c r="W108" s="31"/>
      <c r="X108" s="31"/>
      <c r="Y108" s="31">
        <f t="shared" si="6"/>
        <v>0</v>
      </c>
      <c r="Z108" s="29">
        <v>1000</v>
      </c>
      <c r="AA108" s="29">
        <v>1</v>
      </c>
      <c r="AB108" s="408">
        <v>44207</v>
      </c>
      <c r="AC108" s="408">
        <v>44249</v>
      </c>
      <c r="AD108" s="29"/>
      <c r="AE108" s="29"/>
      <c r="AF108" s="408"/>
      <c r="AG108" s="29"/>
      <c r="AH108" s="29"/>
      <c r="AI108" s="29"/>
      <c r="AJ108" s="408"/>
      <c r="AK108" s="29"/>
      <c r="AL108" s="29"/>
      <c r="AM108" s="29"/>
      <c r="AN108" s="408"/>
      <c r="AO108" s="89"/>
      <c r="AP108" s="29"/>
      <c r="AQ108" s="29"/>
      <c r="AR108" s="408"/>
      <c r="AS108" s="89"/>
      <c r="AT108" s="37">
        <f t="shared" si="4"/>
        <v>1000</v>
      </c>
      <c r="AU108" s="38">
        <f t="shared" si="5"/>
        <v>1000</v>
      </c>
    </row>
    <row r="109" spans="2:47" s="26" customFormat="1" ht="33.75" x14ac:dyDescent="0.25">
      <c r="B109" s="27">
        <f t="shared" si="7"/>
        <v>94</v>
      </c>
      <c r="C109" s="27" t="s">
        <v>39</v>
      </c>
      <c r="D109" s="28">
        <v>30488925</v>
      </c>
      <c r="E109" s="29" t="s">
        <v>1902</v>
      </c>
      <c r="F109" s="29" t="s">
        <v>54</v>
      </c>
      <c r="G109" s="30" t="s">
        <v>1761</v>
      </c>
      <c r="H109" s="29" t="s">
        <v>1848</v>
      </c>
      <c r="I109" s="29" t="s">
        <v>1763</v>
      </c>
      <c r="J109" s="29">
        <v>590613</v>
      </c>
      <c r="K109" s="29"/>
      <c r="L109" s="29"/>
      <c r="M109" s="31">
        <v>196952.823</v>
      </c>
      <c r="N109" s="31">
        <v>0</v>
      </c>
      <c r="O109" s="31">
        <v>132014.693</v>
      </c>
      <c r="P109" s="31"/>
      <c r="Q109" s="31"/>
      <c r="R109" s="31"/>
      <c r="S109" s="31"/>
      <c r="T109" s="31"/>
      <c r="U109" s="31"/>
      <c r="V109" s="31"/>
      <c r="W109" s="31"/>
      <c r="X109" s="31"/>
      <c r="Y109" s="31">
        <f t="shared" si="6"/>
        <v>328967.516</v>
      </c>
      <c r="Z109" s="29">
        <v>400000</v>
      </c>
      <c r="AA109" s="29">
        <v>4</v>
      </c>
      <c r="AB109" s="408">
        <v>44221</v>
      </c>
      <c r="AC109" s="408">
        <v>44280</v>
      </c>
      <c r="AD109" s="29"/>
      <c r="AE109" s="29"/>
      <c r="AF109" s="408"/>
      <c r="AG109" s="29"/>
      <c r="AH109" s="29"/>
      <c r="AI109" s="29"/>
      <c r="AJ109" s="408"/>
      <c r="AK109" s="29"/>
      <c r="AL109" s="29"/>
      <c r="AM109" s="29"/>
      <c r="AN109" s="408"/>
      <c r="AO109" s="89"/>
      <c r="AP109" s="29"/>
      <c r="AQ109" s="29"/>
      <c r="AR109" s="408"/>
      <c r="AS109" s="89"/>
      <c r="AT109" s="37">
        <f t="shared" si="4"/>
        <v>400000</v>
      </c>
      <c r="AU109" s="38">
        <f t="shared" si="5"/>
        <v>71032.483999999997</v>
      </c>
    </row>
    <row r="110" spans="2:47" s="26" customFormat="1" ht="22.5" x14ac:dyDescent="0.25">
      <c r="B110" s="27">
        <f t="shared" si="7"/>
        <v>95</v>
      </c>
      <c r="C110" s="27" t="s">
        <v>39</v>
      </c>
      <c r="D110" s="28">
        <v>40000150</v>
      </c>
      <c r="E110" s="29" t="s">
        <v>1903</v>
      </c>
      <c r="F110" s="29" t="s">
        <v>54</v>
      </c>
      <c r="G110" s="30" t="s">
        <v>1761</v>
      </c>
      <c r="H110" s="29" t="s">
        <v>1888</v>
      </c>
      <c r="I110" s="29" t="s">
        <v>1763</v>
      </c>
      <c r="J110" s="29">
        <v>2817139</v>
      </c>
      <c r="K110" s="29"/>
      <c r="L110" s="29"/>
      <c r="M110" s="31">
        <v>0</v>
      </c>
      <c r="N110" s="31">
        <v>0</v>
      </c>
      <c r="O110" s="31">
        <v>0</v>
      </c>
      <c r="P110" s="31"/>
      <c r="Q110" s="31"/>
      <c r="R110" s="31"/>
      <c r="S110" s="31"/>
      <c r="T110" s="31"/>
      <c r="U110" s="31"/>
      <c r="V110" s="31"/>
      <c r="W110" s="31"/>
      <c r="X110" s="31"/>
      <c r="Y110" s="31">
        <f t="shared" si="6"/>
        <v>0</v>
      </c>
      <c r="Z110" s="29">
        <v>1000</v>
      </c>
      <c r="AA110" s="29">
        <v>1</v>
      </c>
      <c r="AB110" s="408">
        <v>44207</v>
      </c>
      <c r="AC110" s="408">
        <v>44249</v>
      </c>
      <c r="AD110" s="29"/>
      <c r="AE110" s="29"/>
      <c r="AF110" s="408"/>
      <c r="AG110" s="29"/>
      <c r="AH110" s="29"/>
      <c r="AI110" s="29"/>
      <c r="AJ110" s="408"/>
      <c r="AK110" s="29"/>
      <c r="AL110" s="29"/>
      <c r="AM110" s="29"/>
      <c r="AN110" s="408"/>
      <c r="AO110" s="89"/>
      <c r="AP110" s="29"/>
      <c r="AQ110" s="29"/>
      <c r="AR110" s="408"/>
      <c r="AS110" s="89"/>
      <c r="AT110" s="37">
        <f t="shared" si="4"/>
        <v>1000</v>
      </c>
      <c r="AU110" s="38">
        <f t="shared" si="5"/>
        <v>1000</v>
      </c>
    </row>
    <row r="111" spans="2:47" s="26" customFormat="1" ht="22.5" x14ac:dyDescent="0.25">
      <c r="B111" s="27">
        <f t="shared" si="7"/>
        <v>96</v>
      </c>
      <c r="C111" s="27" t="s">
        <v>39</v>
      </c>
      <c r="D111" s="28">
        <v>40000345</v>
      </c>
      <c r="E111" s="29" t="s">
        <v>1904</v>
      </c>
      <c r="F111" s="29" t="s">
        <v>54</v>
      </c>
      <c r="G111" s="30" t="s">
        <v>1761</v>
      </c>
      <c r="H111" s="29" t="s">
        <v>1767</v>
      </c>
      <c r="I111" s="29" t="s">
        <v>1763</v>
      </c>
      <c r="J111" s="29">
        <v>1049082</v>
      </c>
      <c r="K111" s="29"/>
      <c r="L111" s="29"/>
      <c r="M111" s="31">
        <v>0</v>
      </c>
      <c r="N111" s="31">
        <v>0</v>
      </c>
      <c r="O111" s="31">
        <v>0</v>
      </c>
      <c r="P111" s="31"/>
      <c r="Q111" s="31"/>
      <c r="R111" s="31"/>
      <c r="S111" s="31"/>
      <c r="T111" s="31"/>
      <c r="U111" s="31"/>
      <c r="V111" s="31"/>
      <c r="W111" s="31"/>
      <c r="X111" s="31"/>
      <c r="Y111" s="31">
        <f t="shared" si="6"/>
        <v>0</v>
      </c>
      <c r="Z111" s="29">
        <v>1000</v>
      </c>
      <c r="AA111" s="29">
        <v>1</v>
      </c>
      <c r="AB111" s="408">
        <v>44207</v>
      </c>
      <c r="AC111" s="408">
        <v>44249</v>
      </c>
      <c r="AD111" s="29"/>
      <c r="AE111" s="29"/>
      <c r="AF111" s="408"/>
      <c r="AG111" s="29"/>
      <c r="AH111" s="29"/>
      <c r="AI111" s="29"/>
      <c r="AJ111" s="408"/>
      <c r="AK111" s="29"/>
      <c r="AL111" s="29"/>
      <c r="AM111" s="29"/>
      <c r="AN111" s="408"/>
      <c r="AO111" s="89"/>
      <c r="AP111" s="29"/>
      <c r="AQ111" s="29"/>
      <c r="AR111" s="408"/>
      <c r="AS111" s="89"/>
      <c r="AT111" s="37">
        <f t="shared" si="4"/>
        <v>1000</v>
      </c>
      <c r="AU111" s="38">
        <f t="shared" si="5"/>
        <v>1000</v>
      </c>
    </row>
    <row r="112" spans="2:47" s="26" customFormat="1" ht="22.5" x14ac:dyDescent="0.25">
      <c r="B112" s="27">
        <f t="shared" si="7"/>
        <v>97</v>
      </c>
      <c r="C112" s="27" t="s">
        <v>43</v>
      </c>
      <c r="D112" s="28">
        <v>40000375</v>
      </c>
      <c r="E112" s="29" t="s">
        <v>1905</v>
      </c>
      <c r="F112" s="29" t="s">
        <v>54</v>
      </c>
      <c r="G112" s="30" t="s">
        <v>1761</v>
      </c>
      <c r="H112" s="29" t="s">
        <v>1906</v>
      </c>
      <c r="I112" s="29" t="s">
        <v>1763</v>
      </c>
      <c r="J112" s="29">
        <v>137062</v>
      </c>
      <c r="K112" s="29"/>
      <c r="L112" s="29"/>
      <c r="M112" s="31">
        <v>0</v>
      </c>
      <c r="N112" s="31">
        <v>0</v>
      </c>
      <c r="O112" s="31">
        <v>0</v>
      </c>
      <c r="P112" s="31"/>
      <c r="Q112" s="31"/>
      <c r="R112" s="31"/>
      <c r="S112" s="31"/>
      <c r="T112" s="31"/>
      <c r="U112" s="31"/>
      <c r="V112" s="31"/>
      <c r="W112" s="31"/>
      <c r="X112" s="31"/>
      <c r="Y112" s="31">
        <f t="shared" si="6"/>
        <v>0</v>
      </c>
      <c r="Z112" s="29">
        <v>1000</v>
      </c>
      <c r="AA112" s="29">
        <v>1</v>
      </c>
      <c r="AB112" s="408">
        <v>44207</v>
      </c>
      <c r="AC112" s="408">
        <v>44249</v>
      </c>
      <c r="AD112" s="29"/>
      <c r="AE112" s="29"/>
      <c r="AF112" s="408"/>
      <c r="AG112" s="29"/>
      <c r="AH112" s="29"/>
      <c r="AI112" s="29"/>
      <c r="AJ112" s="408"/>
      <c r="AK112" s="29"/>
      <c r="AL112" s="29"/>
      <c r="AM112" s="29"/>
      <c r="AN112" s="408"/>
      <c r="AO112" s="89"/>
      <c r="AP112" s="29"/>
      <c r="AQ112" s="29"/>
      <c r="AR112" s="408"/>
      <c r="AS112" s="89"/>
      <c r="AT112" s="37">
        <f t="shared" si="4"/>
        <v>1000</v>
      </c>
      <c r="AU112" s="38">
        <f t="shared" si="5"/>
        <v>1000</v>
      </c>
    </row>
    <row r="113" spans="2:47" s="26" customFormat="1" ht="22.5" x14ac:dyDescent="0.25">
      <c r="B113" s="27">
        <f t="shared" si="7"/>
        <v>98</v>
      </c>
      <c r="C113" s="27" t="s">
        <v>39</v>
      </c>
      <c r="D113" s="28">
        <v>40000408</v>
      </c>
      <c r="E113" s="29" t="s">
        <v>1907</v>
      </c>
      <c r="F113" s="29" t="s">
        <v>54</v>
      </c>
      <c r="G113" s="30" t="s">
        <v>1761</v>
      </c>
      <c r="H113" s="29" t="s">
        <v>1898</v>
      </c>
      <c r="I113" s="29" t="s">
        <v>1763</v>
      </c>
      <c r="J113" s="29">
        <v>860572</v>
      </c>
      <c r="K113" s="29"/>
      <c r="L113" s="29"/>
      <c r="M113" s="31">
        <v>309771.44300000003</v>
      </c>
      <c r="N113" s="31">
        <v>118632.537</v>
      </c>
      <c r="O113" s="31">
        <v>96645.989000000001</v>
      </c>
      <c r="P113" s="31"/>
      <c r="Q113" s="31"/>
      <c r="R113" s="31"/>
      <c r="S113" s="31"/>
      <c r="T113" s="31"/>
      <c r="U113" s="31"/>
      <c r="V113" s="31"/>
      <c r="W113" s="31"/>
      <c r="X113" s="31"/>
      <c r="Y113" s="31">
        <f t="shared" si="6"/>
        <v>525049.96900000004</v>
      </c>
      <c r="Z113" s="29">
        <v>700000</v>
      </c>
      <c r="AA113" s="29">
        <v>4</v>
      </c>
      <c r="AB113" s="408">
        <v>44221</v>
      </c>
      <c r="AC113" s="408">
        <v>44280</v>
      </c>
      <c r="AD113" s="29"/>
      <c r="AE113" s="29"/>
      <c r="AF113" s="408"/>
      <c r="AG113" s="29"/>
      <c r="AH113" s="29"/>
      <c r="AI113" s="29"/>
      <c r="AJ113" s="408"/>
      <c r="AK113" s="29"/>
      <c r="AL113" s="29"/>
      <c r="AM113" s="29"/>
      <c r="AN113" s="408"/>
      <c r="AO113" s="89"/>
      <c r="AP113" s="29"/>
      <c r="AQ113" s="29"/>
      <c r="AR113" s="408"/>
      <c r="AS113" s="89"/>
      <c r="AT113" s="37">
        <f t="shared" si="4"/>
        <v>700000</v>
      </c>
      <c r="AU113" s="38">
        <f t="shared" si="5"/>
        <v>174950.03099999996</v>
      </c>
    </row>
    <row r="114" spans="2:47" s="26" customFormat="1" ht="22.5" x14ac:dyDescent="0.25">
      <c r="B114" s="27">
        <f t="shared" si="7"/>
        <v>99</v>
      </c>
      <c r="C114" s="27" t="s">
        <v>39</v>
      </c>
      <c r="D114" s="28">
        <v>40000418</v>
      </c>
      <c r="E114" s="29" t="s">
        <v>1908</v>
      </c>
      <c r="F114" s="29" t="s">
        <v>54</v>
      </c>
      <c r="G114" s="30" t="s">
        <v>1761</v>
      </c>
      <c r="H114" s="29" t="s">
        <v>1909</v>
      </c>
      <c r="I114" s="29" t="s">
        <v>1763</v>
      </c>
      <c r="J114" s="29">
        <v>149249</v>
      </c>
      <c r="K114" s="29"/>
      <c r="L114" s="29"/>
      <c r="M114" s="31">
        <v>0</v>
      </c>
      <c r="N114" s="31">
        <v>0</v>
      </c>
      <c r="O114" s="31">
        <v>0</v>
      </c>
      <c r="P114" s="31"/>
      <c r="Q114" s="31"/>
      <c r="R114" s="31"/>
      <c r="S114" s="31"/>
      <c r="T114" s="31"/>
      <c r="U114" s="31"/>
      <c r="V114" s="31"/>
      <c r="W114" s="31"/>
      <c r="X114" s="31"/>
      <c r="Y114" s="31">
        <f t="shared" si="6"/>
        <v>0</v>
      </c>
      <c r="Z114" s="29">
        <v>1000</v>
      </c>
      <c r="AA114" s="29">
        <v>1</v>
      </c>
      <c r="AB114" s="408">
        <v>44207</v>
      </c>
      <c r="AC114" s="408">
        <v>44249</v>
      </c>
      <c r="AD114" s="29"/>
      <c r="AE114" s="29"/>
      <c r="AF114" s="408"/>
      <c r="AG114" s="29"/>
      <c r="AH114" s="29"/>
      <c r="AI114" s="29"/>
      <c r="AJ114" s="408"/>
      <c r="AK114" s="29"/>
      <c r="AL114" s="29"/>
      <c r="AM114" s="29"/>
      <c r="AN114" s="408"/>
      <c r="AO114" s="89"/>
      <c r="AP114" s="29"/>
      <c r="AQ114" s="29"/>
      <c r="AR114" s="408"/>
      <c r="AS114" s="89"/>
      <c r="AT114" s="37">
        <f t="shared" si="4"/>
        <v>1000</v>
      </c>
      <c r="AU114" s="38">
        <f t="shared" si="5"/>
        <v>1000</v>
      </c>
    </row>
    <row r="115" spans="2:47" s="26" customFormat="1" ht="22.5" x14ac:dyDescent="0.25">
      <c r="B115" s="27">
        <f t="shared" si="7"/>
        <v>100</v>
      </c>
      <c r="C115" s="27" t="s">
        <v>39</v>
      </c>
      <c r="D115" s="28">
        <v>40000615</v>
      </c>
      <c r="E115" s="29" t="s">
        <v>1910</v>
      </c>
      <c r="F115" s="29" t="s">
        <v>54</v>
      </c>
      <c r="G115" s="30" t="s">
        <v>1761</v>
      </c>
      <c r="H115" s="29" t="s">
        <v>1888</v>
      </c>
      <c r="I115" s="29" t="s">
        <v>1763</v>
      </c>
      <c r="J115" s="29">
        <v>180867</v>
      </c>
      <c r="K115" s="29"/>
      <c r="L115" s="29"/>
      <c r="M115" s="31">
        <v>36464.688000000002</v>
      </c>
      <c r="N115" s="31">
        <v>0</v>
      </c>
      <c r="O115" s="31">
        <v>0</v>
      </c>
      <c r="P115" s="31"/>
      <c r="Q115" s="31"/>
      <c r="R115" s="31"/>
      <c r="S115" s="31"/>
      <c r="T115" s="31"/>
      <c r="U115" s="31"/>
      <c r="V115" s="31"/>
      <c r="W115" s="31"/>
      <c r="X115" s="31"/>
      <c r="Y115" s="31">
        <f t="shared" si="6"/>
        <v>36464.688000000002</v>
      </c>
      <c r="Z115" s="29">
        <v>180867</v>
      </c>
      <c r="AA115" s="29">
        <v>4</v>
      </c>
      <c r="AB115" s="408">
        <v>44221</v>
      </c>
      <c r="AC115" s="408">
        <v>44280</v>
      </c>
      <c r="AD115" s="29"/>
      <c r="AE115" s="29"/>
      <c r="AF115" s="408"/>
      <c r="AG115" s="29"/>
      <c r="AH115" s="29"/>
      <c r="AI115" s="29"/>
      <c r="AJ115" s="408"/>
      <c r="AK115" s="29"/>
      <c r="AL115" s="29"/>
      <c r="AM115" s="29"/>
      <c r="AN115" s="408"/>
      <c r="AO115" s="89"/>
      <c r="AP115" s="29"/>
      <c r="AQ115" s="29"/>
      <c r="AR115" s="408"/>
      <c r="AS115" s="89"/>
      <c r="AT115" s="37">
        <f t="shared" si="4"/>
        <v>180867</v>
      </c>
      <c r="AU115" s="38">
        <f t="shared" si="5"/>
        <v>144402.31200000001</v>
      </c>
    </row>
    <row r="116" spans="2:47" s="26" customFormat="1" ht="22.5" x14ac:dyDescent="0.25">
      <c r="B116" s="27">
        <f t="shared" si="7"/>
        <v>101</v>
      </c>
      <c r="C116" s="27" t="s">
        <v>39</v>
      </c>
      <c r="D116" s="28">
        <v>40000809</v>
      </c>
      <c r="E116" s="29" t="s">
        <v>1911</v>
      </c>
      <c r="F116" s="29" t="s">
        <v>54</v>
      </c>
      <c r="G116" s="30" t="s">
        <v>1761</v>
      </c>
      <c r="H116" s="29" t="s">
        <v>1891</v>
      </c>
      <c r="I116" s="29" t="s">
        <v>1763</v>
      </c>
      <c r="J116" s="29">
        <v>271486</v>
      </c>
      <c r="K116" s="29"/>
      <c r="L116" s="29"/>
      <c r="M116" s="31">
        <v>0</v>
      </c>
      <c r="N116" s="31">
        <v>0</v>
      </c>
      <c r="O116" s="31">
        <v>0</v>
      </c>
      <c r="P116" s="31"/>
      <c r="Q116" s="31"/>
      <c r="R116" s="31"/>
      <c r="S116" s="31"/>
      <c r="T116" s="31"/>
      <c r="U116" s="31"/>
      <c r="V116" s="31"/>
      <c r="W116" s="31"/>
      <c r="X116" s="31"/>
      <c r="Y116" s="31">
        <f t="shared" si="6"/>
        <v>0</v>
      </c>
      <c r="Z116" s="29">
        <v>1000</v>
      </c>
      <c r="AA116" s="29">
        <v>1</v>
      </c>
      <c r="AB116" s="408">
        <v>44207</v>
      </c>
      <c r="AC116" s="408">
        <v>44249</v>
      </c>
      <c r="AD116" s="29"/>
      <c r="AE116" s="29"/>
      <c r="AF116" s="408"/>
      <c r="AG116" s="29"/>
      <c r="AH116" s="29"/>
      <c r="AI116" s="29"/>
      <c r="AJ116" s="408"/>
      <c r="AK116" s="29"/>
      <c r="AL116" s="29"/>
      <c r="AM116" s="29"/>
      <c r="AN116" s="408"/>
      <c r="AO116" s="89"/>
      <c r="AP116" s="29"/>
      <c r="AQ116" s="29"/>
      <c r="AR116" s="408"/>
      <c r="AS116" s="89"/>
      <c r="AT116" s="37">
        <f t="shared" si="4"/>
        <v>1000</v>
      </c>
      <c r="AU116" s="38">
        <f t="shared" si="5"/>
        <v>1000</v>
      </c>
    </row>
    <row r="117" spans="2:47" s="26" customFormat="1" ht="22.5" x14ac:dyDescent="0.25">
      <c r="B117" s="27">
        <f t="shared" si="7"/>
        <v>102</v>
      </c>
      <c r="C117" s="27" t="s">
        <v>39</v>
      </c>
      <c r="D117" s="28">
        <v>40001188</v>
      </c>
      <c r="E117" s="29" t="s">
        <v>1912</v>
      </c>
      <c r="F117" s="29" t="s">
        <v>54</v>
      </c>
      <c r="G117" s="30" t="s">
        <v>1761</v>
      </c>
      <c r="H117" s="29" t="s">
        <v>1804</v>
      </c>
      <c r="I117" s="29" t="s">
        <v>1763</v>
      </c>
      <c r="J117" s="29">
        <v>1124748</v>
      </c>
      <c r="K117" s="29"/>
      <c r="L117" s="29"/>
      <c r="M117" s="31">
        <v>0</v>
      </c>
      <c r="N117" s="31">
        <v>0</v>
      </c>
      <c r="O117" s="31">
        <v>0</v>
      </c>
      <c r="P117" s="31"/>
      <c r="Q117" s="31"/>
      <c r="R117" s="31"/>
      <c r="S117" s="31"/>
      <c r="T117" s="31"/>
      <c r="U117" s="31"/>
      <c r="V117" s="31"/>
      <c r="W117" s="31"/>
      <c r="X117" s="31"/>
      <c r="Y117" s="31">
        <f t="shared" si="6"/>
        <v>0</v>
      </c>
      <c r="Z117" s="29">
        <v>1000</v>
      </c>
      <c r="AA117" s="29">
        <v>1</v>
      </c>
      <c r="AB117" s="408">
        <v>44207</v>
      </c>
      <c r="AC117" s="408">
        <v>44249</v>
      </c>
      <c r="AD117" s="29"/>
      <c r="AE117" s="29"/>
      <c r="AF117" s="408"/>
      <c r="AG117" s="29"/>
      <c r="AH117" s="29"/>
      <c r="AI117" s="29"/>
      <c r="AJ117" s="408"/>
      <c r="AK117" s="29"/>
      <c r="AL117" s="29"/>
      <c r="AM117" s="29"/>
      <c r="AN117" s="408"/>
      <c r="AO117" s="89"/>
      <c r="AP117" s="29"/>
      <c r="AQ117" s="29"/>
      <c r="AR117" s="408"/>
      <c r="AS117" s="89"/>
      <c r="AT117" s="37">
        <f t="shared" si="4"/>
        <v>1000</v>
      </c>
      <c r="AU117" s="38">
        <f t="shared" si="5"/>
        <v>1000</v>
      </c>
    </row>
    <row r="118" spans="2:47" s="26" customFormat="1" ht="45" x14ac:dyDescent="0.25">
      <c r="B118" s="27">
        <f t="shared" si="7"/>
        <v>103</v>
      </c>
      <c r="C118" s="27" t="s">
        <v>43</v>
      </c>
      <c r="D118" s="28">
        <v>40001193</v>
      </c>
      <c r="E118" s="29" t="s">
        <v>1913</v>
      </c>
      <c r="F118" s="29" t="s">
        <v>54</v>
      </c>
      <c r="G118" s="30" t="s">
        <v>1761</v>
      </c>
      <c r="H118" s="29" t="s">
        <v>1771</v>
      </c>
      <c r="I118" s="29" t="s">
        <v>1763</v>
      </c>
      <c r="J118" s="29">
        <v>1825878</v>
      </c>
      <c r="K118" s="29"/>
      <c r="L118" s="29"/>
      <c r="M118" s="31">
        <v>88855.972999999998</v>
      </c>
      <c r="N118" s="31">
        <v>34348.5</v>
      </c>
      <c r="O118" s="31">
        <v>128626.056</v>
      </c>
      <c r="P118" s="31"/>
      <c r="Q118" s="31"/>
      <c r="R118" s="31"/>
      <c r="S118" s="31"/>
      <c r="T118" s="31"/>
      <c r="U118" s="31"/>
      <c r="V118" s="31"/>
      <c r="W118" s="31"/>
      <c r="X118" s="31"/>
      <c r="Y118" s="31">
        <f t="shared" si="6"/>
        <v>251830.52899999998</v>
      </c>
      <c r="Z118" s="29">
        <v>270000</v>
      </c>
      <c r="AA118" s="29">
        <v>1</v>
      </c>
      <c r="AB118" s="408">
        <v>44207</v>
      </c>
      <c r="AC118" s="408">
        <v>44249</v>
      </c>
      <c r="AD118" s="29"/>
      <c r="AE118" s="29"/>
      <c r="AF118" s="408"/>
      <c r="AG118" s="29"/>
      <c r="AH118" s="29"/>
      <c r="AI118" s="29"/>
      <c r="AJ118" s="408"/>
      <c r="AK118" s="29"/>
      <c r="AL118" s="29"/>
      <c r="AM118" s="29"/>
      <c r="AN118" s="408"/>
      <c r="AO118" s="89"/>
      <c r="AP118" s="29"/>
      <c r="AQ118" s="29"/>
      <c r="AR118" s="408"/>
      <c r="AS118" s="89"/>
      <c r="AT118" s="37">
        <f t="shared" si="4"/>
        <v>270000</v>
      </c>
      <c r="AU118" s="38">
        <f t="shared" si="5"/>
        <v>18169.47100000002</v>
      </c>
    </row>
    <row r="119" spans="2:47" s="26" customFormat="1" ht="22.5" x14ac:dyDescent="0.25">
      <c r="B119" s="27">
        <f t="shared" si="7"/>
        <v>104</v>
      </c>
      <c r="C119" s="27" t="s">
        <v>39</v>
      </c>
      <c r="D119" s="28">
        <v>40001576</v>
      </c>
      <c r="E119" s="29" t="s">
        <v>1914</v>
      </c>
      <c r="F119" s="29" t="s">
        <v>54</v>
      </c>
      <c r="G119" s="30" t="s">
        <v>1761</v>
      </c>
      <c r="H119" s="29" t="s">
        <v>1915</v>
      </c>
      <c r="I119" s="29" t="s">
        <v>1763</v>
      </c>
      <c r="J119" s="29">
        <v>185272</v>
      </c>
      <c r="K119" s="29"/>
      <c r="L119" s="29"/>
      <c r="M119" s="31">
        <v>167346.89799999999</v>
      </c>
      <c r="N119" s="31">
        <v>0</v>
      </c>
      <c r="O119" s="31">
        <v>0</v>
      </c>
      <c r="P119" s="31"/>
      <c r="Q119" s="31"/>
      <c r="R119" s="31"/>
      <c r="S119" s="31"/>
      <c r="T119" s="31"/>
      <c r="U119" s="31"/>
      <c r="V119" s="31"/>
      <c r="W119" s="31"/>
      <c r="X119" s="31"/>
      <c r="Y119" s="31">
        <f t="shared" si="6"/>
        <v>167346.89799999999</v>
      </c>
      <c r="Z119" s="29">
        <v>185272</v>
      </c>
      <c r="AA119" s="29">
        <v>4</v>
      </c>
      <c r="AB119" s="408">
        <v>44221</v>
      </c>
      <c r="AC119" s="408">
        <v>44280</v>
      </c>
      <c r="AD119" s="29"/>
      <c r="AE119" s="29"/>
      <c r="AF119" s="408"/>
      <c r="AG119" s="29"/>
      <c r="AH119" s="29"/>
      <c r="AI119" s="29"/>
      <c r="AJ119" s="408"/>
      <c r="AK119" s="29"/>
      <c r="AL119" s="29"/>
      <c r="AM119" s="29"/>
      <c r="AN119" s="408"/>
      <c r="AO119" s="89"/>
      <c r="AP119" s="29"/>
      <c r="AQ119" s="29"/>
      <c r="AR119" s="408"/>
      <c r="AS119" s="89"/>
      <c r="AT119" s="37">
        <f t="shared" si="4"/>
        <v>185272</v>
      </c>
      <c r="AU119" s="38">
        <f t="shared" si="5"/>
        <v>17925.102000000014</v>
      </c>
    </row>
    <row r="120" spans="2:47" s="26" customFormat="1" ht="22.5" x14ac:dyDescent="0.25">
      <c r="B120" s="27">
        <f t="shared" si="7"/>
        <v>105</v>
      </c>
      <c r="C120" s="27" t="s">
        <v>39</v>
      </c>
      <c r="D120" s="28">
        <v>40001641</v>
      </c>
      <c r="E120" s="29" t="s">
        <v>1916</v>
      </c>
      <c r="F120" s="29" t="s">
        <v>54</v>
      </c>
      <c r="G120" s="30" t="s">
        <v>1761</v>
      </c>
      <c r="H120" s="29" t="s">
        <v>1858</v>
      </c>
      <c r="I120" s="29" t="s">
        <v>1763</v>
      </c>
      <c r="J120" s="29">
        <v>418698</v>
      </c>
      <c r="K120" s="29"/>
      <c r="L120" s="29"/>
      <c r="M120" s="31">
        <v>0</v>
      </c>
      <c r="N120" s="31">
        <v>0</v>
      </c>
      <c r="O120" s="31">
        <v>0</v>
      </c>
      <c r="P120" s="31"/>
      <c r="Q120" s="31"/>
      <c r="R120" s="31"/>
      <c r="S120" s="31"/>
      <c r="T120" s="31"/>
      <c r="U120" s="31"/>
      <c r="V120" s="31"/>
      <c r="W120" s="31"/>
      <c r="X120" s="31"/>
      <c r="Y120" s="31">
        <f t="shared" si="6"/>
        <v>0</v>
      </c>
      <c r="Z120" s="29">
        <v>1000</v>
      </c>
      <c r="AA120" s="29">
        <v>1</v>
      </c>
      <c r="AB120" s="408">
        <v>44207</v>
      </c>
      <c r="AC120" s="408">
        <v>44249</v>
      </c>
      <c r="AD120" s="29"/>
      <c r="AE120" s="29"/>
      <c r="AF120" s="408"/>
      <c r="AG120" s="29"/>
      <c r="AH120" s="29"/>
      <c r="AI120" s="29"/>
      <c r="AJ120" s="408"/>
      <c r="AK120" s="29"/>
      <c r="AL120" s="29"/>
      <c r="AM120" s="29"/>
      <c r="AN120" s="408"/>
      <c r="AO120" s="89"/>
      <c r="AP120" s="29"/>
      <c r="AQ120" s="29"/>
      <c r="AR120" s="408"/>
      <c r="AS120" s="89"/>
      <c r="AT120" s="37">
        <f t="shared" si="4"/>
        <v>1000</v>
      </c>
      <c r="AU120" s="38">
        <f t="shared" si="5"/>
        <v>1000</v>
      </c>
    </row>
    <row r="121" spans="2:47" s="26" customFormat="1" ht="33.75" x14ac:dyDescent="0.25">
      <c r="B121" s="27">
        <f t="shared" si="7"/>
        <v>106</v>
      </c>
      <c r="C121" s="27" t="s">
        <v>39</v>
      </c>
      <c r="D121" s="28">
        <v>40001838</v>
      </c>
      <c r="E121" s="29" t="s">
        <v>1917</v>
      </c>
      <c r="F121" s="29" t="s">
        <v>54</v>
      </c>
      <c r="G121" s="30" t="s">
        <v>1761</v>
      </c>
      <c r="H121" s="29" t="s">
        <v>1918</v>
      </c>
      <c r="I121" s="29" t="s">
        <v>1763</v>
      </c>
      <c r="J121" s="29">
        <v>224214</v>
      </c>
      <c r="K121" s="29"/>
      <c r="L121" s="29"/>
      <c r="M121" s="31">
        <v>0</v>
      </c>
      <c r="N121" s="31">
        <v>0</v>
      </c>
      <c r="O121" s="31">
        <v>0</v>
      </c>
      <c r="P121" s="31"/>
      <c r="Q121" s="31"/>
      <c r="R121" s="31"/>
      <c r="S121" s="31"/>
      <c r="T121" s="31"/>
      <c r="U121" s="31"/>
      <c r="V121" s="31"/>
      <c r="W121" s="31"/>
      <c r="X121" s="31"/>
      <c r="Y121" s="31">
        <f t="shared" si="6"/>
        <v>0</v>
      </c>
      <c r="Z121" s="29">
        <v>1000</v>
      </c>
      <c r="AA121" s="29">
        <v>1</v>
      </c>
      <c r="AB121" s="408">
        <v>44207</v>
      </c>
      <c r="AC121" s="408">
        <v>44249</v>
      </c>
      <c r="AD121" s="29"/>
      <c r="AE121" s="29"/>
      <c r="AF121" s="408"/>
      <c r="AG121" s="29"/>
      <c r="AH121" s="29"/>
      <c r="AI121" s="29"/>
      <c r="AJ121" s="408"/>
      <c r="AK121" s="29"/>
      <c r="AL121" s="29"/>
      <c r="AM121" s="29"/>
      <c r="AN121" s="408"/>
      <c r="AO121" s="89"/>
      <c r="AP121" s="29"/>
      <c r="AQ121" s="29"/>
      <c r="AR121" s="408"/>
      <c r="AS121" s="89"/>
      <c r="AT121" s="37">
        <f t="shared" si="4"/>
        <v>1000</v>
      </c>
      <c r="AU121" s="38">
        <f t="shared" si="5"/>
        <v>1000</v>
      </c>
    </row>
    <row r="122" spans="2:47" s="26" customFormat="1" ht="33.75" x14ac:dyDescent="0.25">
      <c r="B122" s="27">
        <f t="shared" si="7"/>
        <v>107</v>
      </c>
      <c r="C122" s="27" t="s">
        <v>39</v>
      </c>
      <c r="D122" s="28">
        <v>40001866</v>
      </c>
      <c r="E122" s="29" t="s">
        <v>1919</v>
      </c>
      <c r="F122" s="29" t="s">
        <v>60</v>
      </c>
      <c r="G122" s="30" t="s">
        <v>1761</v>
      </c>
      <c r="H122" s="29" t="s">
        <v>1800</v>
      </c>
      <c r="I122" s="29" t="s">
        <v>1763</v>
      </c>
      <c r="J122" s="29">
        <v>1748834</v>
      </c>
      <c r="K122" s="29"/>
      <c r="L122" s="29"/>
      <c r="M122" s="31">
        <v>0</v>
      </c>
      <c r="N122" s="31">
        <v>0</v>
      </c>
      <c r="O122" s="31">
        <v>0</v>
      </c>
      <c r="P122" s="31"/>
      <c r="Q122" s="31"/>
      <c r="R122" s="31"/>
      <c r="S122" s="31"/>
      <c r="T122" s="31"/>
      <c r="U122" s="31"/>
      <c r="V122" s="31"/>
      <c r="W122" s="31"/>
      <c r="X122" s="31"/>
      <c r="Y122" s="31">
        <f t="shared" si="6"/>
        <v>0</v>
      </c>
      <c r="Z122" s="29">
        <v>1000</v>
      </c>
      <c r="AA122" s="29">
        <v>1</v>
      </c>
      <c r="AB122" s="408">
        <v>44207</v>
      </c>
      <c r="AC122" s="408">
        <v>44249</v>
      </c>
      <c r="AD122" s="29"/>
      <c r="AE122" s="29"/>
      <c r="AF122" s="408"/>
      <c r="AG122" s="29"/>
      <c r="AH122" s="29"/>
      <c r="AI122" s="29"/>
      <c r="AJ122" s="408"/>
      <c r="AK122" s="29"/>
      <c r="AL122" s="29"/>
      <c r="AM122" s="29"/>
      <c r="AN122" s="408"/>
      <c r="AO122" s="89"/>
      <c r="AP122" s="29"/>
      <c r="AQ122" s="29"/>
      <c r="AR122" s="408"/>
      <c r="AS122" s="89"/>
      <c r="AT122" s="37">
        <f t="shared" si="4"/>
        <v>1000</v>
      </c>
      <c r="AU122" s="38">
        <f t="shared" si="5"/>
        <v>1000</v>
      </c>
    </row>
    <row r="123" spans="2:47" s="26" customFormat="1" ht="22.5" x14ac:dyDescent="0.25">
      <c r="B123" s="27">
        <f t="shared" si="7"/>
        <v>108</v>
      </c>
      <c r="C123" s="27" t="s">
        <v>39</v>
      </c>
      <c r="D123" s="28">
        <v>40002058</v>
      </c>
      <c r="E123" s="29" t="s">
        <v>1920</v>
      </c>
      <c r="F123" s="29" t="s">
        <v>54</v>
      </c>
      <c r="G123" s="30" t="s">
        <v>1761</v>
      </c>
      <c r="H123" s="29" t="s">
        <v>1921</v>
      </c>
      <c r="I123" s="29" t="s">
        <v>1763</v>
      </c>
      <c r="J123" s="29">
        <v>1835817</v>
      </c>
      <c r="K123" s="29"/>
      <c r="L123" s="29"/>
      <c r="M123" s="31">
        <v>0</v>
      </c>
      <c r="N123" s="31">
        <v>0</v>
      </c>
      <c r="O123" s="31">
        <v>0</v>
      </c>
      <c r="P123" s="31"/>
      <c r="Q123" s="31"/>
      <c r="R123" s="31"/>
      <c r="S123" s="31"/>
      <c r="T123" s="31"/>
      <c r="U123" s="31"/>
      <c r="V123" s="31"/>
      <c r="W123" s="31"/>
      <c r="X123" s="31"/>
      <c r="Y123" s="31">
        <f t="shared" si="6"/>
        <v>0</v>
      </c>
      <c r="Z123" s="29">
        <v>810000</v>
      </c>
      <c r="AA123" s="29">
        <v>4</v>
      </c>
      <c r="AB123" s="408">
        <v>44221</v>
      </c>
      <c r="AC123" s="408">
        <v>44280</v>
      </c>
      <c r="AD123" s="29"/>
      <c r="AE123" s="29"/>
      <c r="AF123" s="408"/>
      <c r="AG123" s="29"/>
      <c r="AH123" s="29"/>
      <c r="AI123" s="29"/>
      <c r="AJ123" s="408"/>
      <c r="AK123" s="29"/>
      <c r="AL123" s="29"/>
      <c r="AM123" s="29"/>
      <c r="AN123" s="408"/>
      <c r="AO123" s="89"/>
      <c r="AP123" s="29"/>
      <c r="AQ123" s="29"/>
      <c r="AR123" s="408"/>
      <c r="AS123" s="89"/>
      <c r="AT123" s="37">
        <f t="shared" si="4"/>
        <v>810000</v>
      </c>
      <c r="AU123" s="38">
        <f t="shared" si="5"/>
        <v>810000</v>
      </c>
    </row>
    <row r="124" spans="2:47" s="26" customFormat="1" ht="22.5" x14ac:dyDescent="0.25">
      <c r="B124" s="27">
        <f t="shared" si="7"/>
        <v>109</v>
      </c>
      <c r="C124" s="27" t="s">
        <v>39</v>
      </c>
      <c r="D124" s="28">
        <v>40002059</v>
      </c>
      <c r="E124" s="29" t="s">
        <v>1922</v>
      </c>
      <c r="F124" s="29" t="s">
        <v>54</v>
      </c>
      <c r="G124" s="30" t="s">
        <v>1761</v>
      </c>
      <c r="H124" s="29" t="s">
        <v>1921</v>
      </c>
      <c r="I124" s="29" t="s">
        <v>1763</v>
      </c>
      <c r="J124" s="29">
        <v>822501</v>
      </c>
      <c r="K124" s="29"/>
      <c r="L124" s="29"/>
      <c r="M124" s="31">
        <v>0</v>
      </c>
      <c r="N124" s="31">
        <v>0</v>
      </c>
      <c r="O124" s="31">
        <v>0</v>
      </c>
      <c r="P124" s="31"/>
      <c r="Q124" s="31"/>
      <c r="R124" s="31"/>
      <c r="S124" s="31"/>
      <c r="T124" s="31"/>
      <c r="U124" s="31"/>
      <c r="V124" s="31"/>
      <c r="W124" s="31"/>
      <c r="X124" s="31"/>
      <c r="Y124" s="31">
        <f t="shared" si="6"/>
        <v>0</v>
      </c>
      <c r="Z124" s="29">
        <v>1000</v>
      </c>
      <c r="AA124" s="29">
        <v>1</v>
      </c>
      <c r="AB124" s="408">
        <v>44207</v>
      </c>
      <c r="AC124" s="408">
        <v>44249</v>
      </c>
      <c r="AD124" s="29"/>
      <c r="AE124" s="29"/>
      <c r="AF124" s="408"/>
      <c r="AG124" s="29"/>
      <c r="AH124" s="29"/>
      <c r="AI124" s="29"/>
      <c r="AJ124" s="408"/>
      <c r="AK124" s="29"/>
      <c r="AL124" s="29"/>
      <c r="AM124" s="29"/>
      <c r="AN124" s="408"/>
      <c r="AO124" s="89"/>
      <c r="AP124" s="29"/>
      <c r="AQ124" s="29"/>
      <c r="AR124" s="408"/>
      <c r="AS124" s="89"/>
      <c r="AT124" s="37">
        <f t="shared" si="4"/>
        <v>1000</v>
      </c>
      <c r="AU124" s="38">
        <f t="shared" si="5"/>
        <v>1000</v>
      </c>
    </row>
    <row r="125" spans="2:47" s="26" customFormat="1" ht="45" x14ac:dyDescent="0.25">
      <c r="B125" s="27">
        <f t="shared" si="7"/>
        <v>110</v>
      </c>
      <c r="C125" s="27" t="s">
        <v>39</v>
      </c>
      <c r="D125" s="28">
        <v>40002816</v>
      </c>
      <c r="E125" s="29" t="s">
        <v>1923</v>
      </c>
      <c r="F125" s="29" t="s">
        <v>60</v>
      </c>
      <c r="G125" s="30" t="s">
        <v>1761</v>
      </c>
      <c r="H125" s="29" t="s">
        <v>1771</v>
      </c>
      <c r="I125" s="29" t="s">
        <v>1763</v>
      </c>
      <c r="J125" s="29">
        <v>158891</v>
      </c>
      <c r="K125" s="29"/>
      <c r="L125" s="29"/>
      <c r="M125" s="31">
        <v>0</v>
      </c>
      <c r="N125" s="31">
        <v>0</v>
      </c>
      <c r="O125" s="31">
        <v>0</v>
      </c>
      <c r="P125" s="31"/>
      <c r="Q125" s="31"/>
      <c r="R125" s="31"/>
      <c r="S125" s="31"/>
      <c r="T125" s="31"/>
      <c r="U125" s="31"/>
      <c r="V125" s="31"/>
      <c r="W125" s="31"/>
      <c r="X125" s="31"/>
      <c r="Y125" s="31">
        <f t="shared" si="6"/>
        <v>0</v>
      </c>
      <c r="Z125" s="29">
        <v>1000</v>
      </c>
      <c r="AA125" s="29">
        <v>1</v>
      </c>
      <c r="AB125" s="408">
        <v>44207</v>
      </c>
      <c r="AC125" s="408">
        <v>44249</v>
      </c>
      <c r="AD125" s="29">
        <v>99000</v>
      </c>
      <c r="AE125" s="29">
        <v>4</v>
      </c>
      <c r="AF125" s="408">
        <v>44221</v>
      </c>
      <c r="AG125" s="408">
        <v>44280</v>
      </c>
      <c r="AH125" s="29"/>
      <c r="AI125" s="29"/>
      <c r="AJ125" s="408"/>
      <c r="AK125" s="29"/>
      <c r="AL125" s="29"/>
      <c r="AM125" s="29"/>
      <c r="AN125" s="408"/>
      <c r="AO125" s="89"/>
      <c r="AP125" s="29"/>
      <c r="AQ125" s="29"/>
      <c r="AR125" s="408"/>
      <c r="AS125" s="89"/>
      <c r="AT125" s="37">
        <f t="shared" si="4"/>
        <v>100000</v>
      </c>
      <c r="AU125" s="38">
        <f t="shared" si="5"/>
        <v>100000</v>
      </c>
    </row>
    <row r="126" spans="2:47" s="26" customFormat="1" ht="22.5" x14ac:dyDescent="0.25">
      <c r="B126" s="27">
        <f t="shared" si="7"/>
        <v>111</v>
      </c>
      <c r="C126" s="27" t="s">
        <v>39</v>
      </c>
      <c r="D126" s="28">
        <v>40002833</v>
      </c>
      <c r="E126" s="29" t="s">
        <v>1924</v>
      </c>
      <c r="F126" s="29" t="s">
        <v>54</v>
      </c>
      <c r="G126" s="30" t="s">
        <v>1761</v>
      </c>
      <c r="H126" s="29" t="s">
        <v>1881</v>
      </c>
      <c r="I126" s="29" t="s">
        <v>1808</v>
      </c>
      <c r="J126" s="29">
        <v>1837568</v>
      </c>
      <c r="K126" s="29"/>
      <c r="L126" s="29"/>
      <c r="M126" s="31">
        <v>0</v>
      </c>
      <c r="N126" s="31">
        <v>0</v>
      </c>
      <c r="O126" s="31">
        <v>0</v>
      </c>
      <c r="P126" s="31"/>
      <c r="Q126" s="31"/>
      <c r="R126" s="31"/>
      <c r="S126" s="31"/>
      <c r="T126" s="31"/>
      <c r="U126" s="31"/>
      <c r="V126" s="31"/>
      <c r="W126" s="31"/>
      <c r="X126" s="31"/>
      <c r="Y126" s="31">
        <f t="shared" si="6"/>
        <v>0</v>
      </c>
      <c r="Z126" s="29">
        <v>1000</v>
      </c>
      <c r="AA126" s="29">
        <v>1</v>
      </c>
      <c r="AB126" s="408">
        <v>44207</v>
      </c>
      <c r="AC126" s="408">
        <v>44249</v>
      </c>
      <c r="AD126" s="29"/>
      <c r="AE126" s="29"/>
      <c r="AF126" s="408"/>
      <c r="AG126" s="29"/>
      <c r="AH126" s="29"/>
      <c r="AI126" s="29"/>
      <c r="AJ126" s="408"/>
      <c r="AK126" s="29"/>
      <c r="AL126" s="29"/>
      <c r="AM126" s="29"/>
      <c r="AN126" s="408"/>
      <c r="AO126" s="89"/>
      <c r="AP126" s="29"/>
      <c r="AQ126" s="29"/>
      <c r="AR126" s="408"/>
      <c r="AS126" s="89"/>
      <c r="AT126" s="37">
        <f t="shared" si="4"/>
        <v>1000</v>
      </c>
      <c r="AU126" s="38">
        <f t="shared" si="5"/>
        <v>1000</v>
      </c>
    </row>
    <row r="127" spans="2:47" s="26" customFormat="1" ht="22.5" x14ac:dyDescent="0.25">
      <c r="B127" s="27">
        <f t="shared" si="7"/>
        <v>112</v>
      </c>
      <c r="C127" s="27" t="s">
        <v>39</v>
      </c>
      <c r="D127" s="28">
        <v>40003085</v>
      </c>
      <c r="E127" s="29" t="s">
        <v>1925</v>
      </c>
      <c r="F127" s="29" t="s">
        <v>54</v>
      </c>
      <c r="G127" s="30" t="s">
        <v>1761</v>
      </c>
      <c r="H127" s="29" t="s">
        <v>1906</v>
      </c>
      <c r="I127" s="29" t="s">
        <v>1763</v>
      </c>
      <c r="J127" s="29">
        <v>942085</v>
      </c>
      <c r="K127" s="29"/>
      <c r="L127" s="29"/>
      <c r="M127" s="31">
        <v>0</v>
      </c>
      <c r="N127" s="31">
        <v>0</v>
      </c>
      <c r="O127" s="31">
        <v>0</v>
      </c>
      <c r="P127" s="31"/>
      <c r="Q127" s="31"/>
      <c r="R127" s="31"/>
      <c r="S127" s="31"/>
      <c r="T127" s="31"/>
      <c r="U127" s="31"/>
      <c r="V127" s="31"/>
      <c r="W127" s="31"/>
      <c r="X127" s="31"/>
      <c r="Y127" s="31">
        <f t="shared" si="6"/>
        <v>0</v>
      </c>
      <c r="Z127" s="29">
        <v>1000</v>
      </c>
      <c r="AA127" s="29">
        <v>1</v>
      </c>
      <c r="AB127" s="408">
        <v>44207</v>
      </c>
      <c r="AC127" s="408">
        <v>44249</v>
      </c>
      <c r="AD127" s="29">
        <v>550000</v>
      </c>
      <c r="AE127" s="29">
        <v>4</v>
      </c>
      <c r="AF127" s="408">
        <v>44221</v>
      </c>
      <c r="AG127" s="408">
        <v>44280</v>
      </c>
      <c r="AH127" s="29"/>
      <c r="AI127" s="29"/>
      <c r="AJ127" s="408"/>
      <c r="AK127" s="29"/>
      <c r="AL127" s="29"/>
      <c r="AM127" s="29"/>
      <c r="AN127" s="408"/>
      <c r="AO127" s="89"/>
      <c r="AP127" s="29"/>
      <c r="AQ127" s="29"/>
      <c r="AR127" s="408"/>
      <c r="AS127" s="89"/>
      <c r="AT127" s="37">
        <f t="shared" si="4"/>
        <v>551000</v>
      </c>
      <c r="AU127" s="38">
        <f t="shared" si="5"/>
        <v>551000</v>
      </c>
    </row>
    <row r="128" spans="2:47" s="26" customFormat="1" ht="33.75" x14ac:dyDescent="0.25">
      <c r="B128" s="27">
        <f t="shared" si="7"/>
        <v>113</v>
      </c>
      <c r="C128" s="27" t="s">
        <v>39</v>
      </c>
      <c r="D128" s="28">
        <v>40003255</v>
      </c>
      <c r="E128" s="29" t="s">
        <v>1926</v>
      </c>
      <c r="F128" s="29" t="s">
        <v>54</v>
      </c>
      <c r="G128" s="30" t="s">
        <v>1761</v>
      </c>
      <c r="H128" s="29" t="s">
        <v>1819</v>
      </c>
      <c r="I128" s="29" t="s">
        <v>1763</v>
      </c>
      <c r="J128" s="29">
        <v>82572</v>
      </c>
      <c r="K128" s="29"/>
      <c r="L128" s="29"/>
      <c r="M128" s="31">
        <v>82356.444000000003</v>
      </c>
      <c r="N128" s="31">
        <v>0</v>
      </c>
      <c r="O128" s="31">
        <v>0</v>
      </c>
      <c r="P128" s="31"/>
      <c r="Q128" s="31"/>
      <c r="R128" s="31"/>
      <c r="S128" s="31"/>
      <c r="T128" s="31"/>
      <c r="U128" s="31"/>
      <c r="V128" s="31"/>
      <c r="W128" s="31"/>
      <c r="X128" s="31"/>
      <c r="Y128" s="31">
        <f t="shared" si="6"/>
        <v>82356.444000000003</v>
      </c>
      <c r="Z128" s="29">
        <v>82357</v>
      </c>
      <c r="AA128" s="29">
        <v>4</v>
      </c>
      <c r="AB128" s="408">
        <v>44221</v>
      </c>
      <c r="AC128" s="408">
        <v>44280</v>
      </c>
      <c r="AD128" s="29"/>
      <c r="AE128" s="29"/>
      <c r="AF128" s="408"/>
      <c r="AG128" s="29"/>
      <c r="AH128" s="29"/>
      <c r="AI128" s="29"/>
      <c r="AJ128" s="408"/>
      <c r="AK128" s="29"/>
      <c r="AL128" s="29"/>
      <c r="AM128" s="29"/>
      <c r="AN128" s="408"/>
      <c r="AO128" s="89"/>
      <c r="AP128" s="29"/>
      <c r="AQ128" s="29"/>
      <c r="AR128" s="408"/>
      <c r="AS128" s="89"/>
      <c r="AT128" s="37">
        <f t="shared" si="4"/>
        <v>82357</v>
      </c>
      <c r="AU128" s="38">
        <f t="shared" si="5"/>
        <v>0.55599999999685679</v>
      </c>
    </row>
    <row r="129" spans="2:47" s="26" customFormat="1" ht="22.5" x14ac:dyDescent="0.25">
      <c r="B129" s="27">
        <f t="shared" si="7"/>
        <v>114</v>
      </c>
      <c r="C129" s="27" t="s">
        <v>39</v>
      </c>
      <c r="D129" s="28">
        <v>40003393</v>
      </c>
      <c r="E129" s="29" t="s">
        <v>1927</v>
      </c>
      <c r="F129" s="29" t="s">
        <v>54</v>
      </c>
      <c r="G129" s="30" t="s">
        <v>1761</v>
      </c>
      <c r="H129" s="29" t="s">
        <v>1848</v>
      </c>
      <c r="I129" s="29" t="s">
        <v>1808</v>
      </c>
      <c r="J129" s="29">
        <v>8167</v>
      </c>
      <c r="K129" s="29"/>
      <c r="L129" s="29"/>
      <c r="M129" s="31">
        <v>0</v>
      </c>
      <c r="N129" s="31">
        <v>0</v>
      </c>
      <c r="O129" s="31">
        <v>0</v>
      </c>
      <c r="P129" s="31"/>
      <c r="Q129" s="31"/>
      <c r="R129" s="31"/>
      <c r="S129" s="31"/>
      <c r="T129" s="31"/>
      <c r="U129" s="31"/>
      <c r="V129" s="31"/>
      <c r="W129" s="31"/>
      <c r="X129" s="31"/>
      <c r="Y129" s="31">
        <f t="shared" si="6"/>
        <v>0</v>
      </c>
      <c r="Z129" s="29">
        <v>1000</v>
      </c>
      <c r="AA129" s="29">
        <v>1</v>
      </c>
      <c r="AB129" s="408">
        <v>44207</v>
      </c>
      <c r="AC129" s="408">
        <v>44249</v>
      </c>
      <c r="AD129" s="29"/>
      <c r="AE129" s="29"/>
      <c r="AF129" s="408"/>
      <c r="AG129" s="29"/>
      <c r="AH129" s="29"/>
      <c r="AI129" s="29"/>
      <c r="AJ129" s="408"/>
      <c r="AK129" s="29"/>
      <c r="AL129" s="29"/>
      <c r="AM129" s="29"/>
      <c r="AN129" s="408"/>
      <c r="AO129" s="89"/>
      <c r="AP129" s="29"/>
      <c r="AQ129" s="29"/>
      <c r="AR129" s="408"/>
      <c r="AS129" s="89"/>
      <c r="AT129" s="37">
        <f t="shared" si="4"/>
        <v>1000</v>
      </c>
      <c r="AU129" s="38">
        <f t="shared" si="5"/>
        <v>1000</v>
      </c>
    </row>
    <row r="130" spans="2:47" s="26" customFormat="1" ht="22.5" x14ac:dyDescent="0.25">
      <c r="B130" s="27">
        <f t="shared" si="7"/>
        <v>115</v>
      </c>
      <c r="C130" s="27" t="s">
        <v>39</v>
      </c>
      <c r="D130" s="28">
        <v>40003612</v>
      </c>
      <c r="E130" s="29" t="s">
        <v>1928</v>
      </c>
      <c r="F130" s="29" t="s">
        <v>54</v>
      </c>
      <c r="G130" s="30" t="s">
        <v>1761</v>
      </c>
      <c r="H130" s="29" t="s">
        <v>1819</v>
      </c>
      <c r="I130" s="29" t="s">
        <v>1763</v>
      </c>
      <c r="J130" s="29">
        <v>328229</v>
      </c>
      <c r="K130" s="29"/>
      <c r="L130" s="29"/>
      <c r="M130" s="31">
        <v>0</v>
      </c>
      <c r="N130" s="31">
        <v>0</v>
      </c>
      <c r="O130" s="31">
        <v>0</v>
      </c>
      <c r="P130" s="31"/>
      <c r="Q130" s="31"/>
      <c r="R130" s="31"/>
      <c r="S130" s="31"/>
      <c r="T130" s="31"/>
      <c r="U130" s="31"/>
      <c r="V130" s="31"/>
      <c r="W130" s="31"/>
      <c r="X130" s="31"/>
      <c r="Y130" s="31">
        <f t="shared" si="6"/>
        <v>0</v>
      </c>
      <c r="Z130" s="29">
        <v>1000</v>
      </c>
      <c r="AA130" s="29">
        <v>1</v>
      </c>
      <c r="AB130" s="408">
        <v>44207</v>
      </c>
      <c r="AC130" s="408">
        <v>44249</v>
      </c>
      <c r="AD130" s="29"/>
      <c r="AE130" s="29"/>
      <c r="AF130" s="408"/>
      <c r="AG130" s="29"/>
      <c r="AH130" s="29"/>
      <c r="AI130" s="29"/>
      <c r="AJ130" s="408"/>
      <c r="AK130" s="29"/>
      <c r="AL130" s="29"/>
      <c r="AM130" s="29"/>
      <c r="AN130" s="408"/>
      <c r="AO130" s="89"/>
      <c r="AP130" s="29"/>
      <c r="AQ130" s="29"/>
      <c r="AR130" s="408"/>
      <c r="AS130" s="89"/>
      <c r="AT130" s="37">
        <f t="shared" si="4"/>
        <v>1000</v>
      </c>
      <c r="AU130" s="38">
        <f t="shared" si="5"/>
        <v>1000</v>
      </c>
    </row>
    <row r="131" spans="2:47" s="26" customFormat="1" ht="22.5" x14ac:dyDescent="0.25">
      <c r="B131" s="27">
        <f t="shared" si="7"/>
        <v>116</v>
      </c>
      <c r="C131" s="27" t="s">
        <v>39</v>
      </c>
      <c r="D131" s="28">
        <v>40003652</v>
      </c>
      <c r="E131" s="29" t="s">
        <v>1929</v>
      </c>
      <c r="F131" s="29" t="s">
        <v>54</v>
      </c>
      <c r="G131" s="30" t="s">
        <v>1761</v>
      </c>
      <c r="H131" s="29" t="s">
        <v>1785</v>
      </c>
      <c r="I131" s="29" t="s">
        <v>1763</v>
      </c>
      <c r="J131" s="29">
        <v>1056932</v>
      </c>
      <c r="K131" s="29"/>
      <c r="L131" s="29"/>
      <c r="M131" s="31">
        <v>0</v>
      </c>
      <c r="N131" s="31">
        <v>0</v>
      </c>
      <c r="O131" s="31">
        <v>0</v>
      </c>
      <c r="P131" s="31"/>
      <c r="Q131" s="31"/>
      <c r="R131" s="31"/>
      <c r="S131" s="31"/>
      <c r="T131" s="31"/>
      <c r="U131" s="31"/>
      <c r="V131" s="31"/>
      <c r="W131" s="31"/>
      <c r="X131" s="31"/>
      <c r="Y131" s="31">
        <f t="shared" si="6"/>
        <v>0</v>
      </c>
      <c r="Z131" s="29">
        <v>1000</v>
      </c>
      <c r="AA131" s="29">
        <v>1</v>
      </c>
      <c r="AB131" s="408">
        <v>44207</v>
      </c>
      <c r="AC131" s="408">
        <v>44249</v>
      </c>
      <c r="AD131" s="29"/>
      <c r="AE131" s="29"/>
      <c r="AF131" s="408"/>
      <c r="AG131" s="29"/>
      <c r="AH131" s="29"/>
      <c r="AI131" s="29"/>
      <c r="AJ131" s="408"/>
      <c r="AK131" s="29"/>
      <c r="AL131" s="29"/>
      <c r="AM131" s="29"/>
      <c r="AN131" s="408"/>
      <c r="AO131" s="89"/>
      <c r="AP131" s="29"/>
      <c r="AQ131" s="29"/>
      <c r="AR131" s="408"/>
      <c r="AS131" s="89"/>
      <c r="AT131" s="37">
        <f t="shared" si="4"/>
        <v>1000</v>
      </c>
      <c r="AU131" s="38">
        <f t="shared" si="5"/>
        <v>1000</v>
      </c>
    </row>
    <row r="132" spans="2:47" s="26" customFormat="1" ht="22.5" x14ac:dyDescent="0.25">
      <c r="B132" s="27">
        <f t="shared" si="7"/>
        <v>117</v>
      </c>
      <c r="C132" s="27" t="s">
        <v>39</v>
      </c>
      <c r="D132" s="28">
        <v>40003725</v>
      </c>
      <c r="E132" s="29" t="s">
        <v>1930</v>
      </c>
      <c r="F132" s="29" t="s">
        <v>54</v>
      </c>
      <c r="G132" s="30" t="s">
        <v>1761</v>
      </c>
      <c r="H132" s="29" t="s">
        <v>1832</v>
      </c>
      <c r="I132" s="29" t="s">
        <v>1763</v>
      </c>
      <c r="J132" s="29">
        <v>2859559</v>
      </c>
      <c r="K132" s="29"/>
      <c r="L132" s="29"/>
      <c r="M132" s="31">
        <v>123435.40399999999</v>
      </c>
      <c r="N132" s="31">
        <v>586945.51599999995</v>
      </c>
      <c r="O132" s="31">
        <v>229094.337</v>
      </c>
      <c r="P132" s="31"/>
      <c r="Q132" s="31"/>
      <c r="R132" s="31"/>
      <c r="S132" s="31"/>
      <c r="T132" s="31"/>
      <c r="U132" s="31"/>
      <c r="V132" s="31"/>
      <c r="W132" s="31"/>
      <c r="X132" s="31"/>
      <c r="Y132" s="31">
        <f t="shared" si="6"/>
        <v>939475.25699999998</v>
      </c>
      <c r="Z132" s="29">
        <v>400000</v>
      </c>
      <c r="AA132" s="29">
        <v>4</v>
      </c>
      <c r="AB132" s="408">
        <v>44221</v>
      </c>
      <c r="AC132" s="408">
        <v>44280</v>
      </c>
      <c r="AD132" s="29"/>
      <c r="AE132" s="29"/>
      <c r="AF132" s="408"/>
      <c r="AG132" s="29"/>
      <c r="AH132" s="29"/>
      <c r="AI132" s="29"/>
      <c r="AJ132" s="408"/>
      <c r="AK132" s="29"/>
      <c r="AL132" s="29"/>
      <c r="AM132" s="29"/>
      <c r="AN132" s="408"/>
      <c r="AO132" s="89"/>
      <c r="AP132" s="29"/>
      <c r="AQ132" s="29"/>
      <c r="AR132" s="408"/>
      <c r="AS132" s="89"/>
      <c r="AT132" s="37">
        <f t="shared" si="4"/>
        <v>400000</v>
      </c>
      <c r="AU132" s="38">
        <f t="shared" si="5"/>
        <v>-539475.25699999998</v>
      </c>
    </row>
    <row r="133" spans="2:47" s="26" customFormat="1" ht="22.5" x14ac:dyDescent="0.25">
      <c r="B133" s="27">
        <f t="shared" si="7"/>
        <v>118</v>
      </c>
      <c r="C133" s="27" t="s">
        <v>39</v>
      </c>
      <c r="D133" s="28">
        <v>40003910</v>
      </c>
      <c r="E133" s="29" t="s">
        <v>1931</v>
      </c>
      <c r="F133" s="29" t="s">
        <v>54</v>
      </c>
      <c r="G133" s="30" t="s">
        <v>1761</v>
      </c>
      <c r="H133" s="29" t="s">
        <v>1819</v>
      </c>
      <c r="I133" s="29" t="s">
        <v>1763</v>
      </c>
      <c r="J133" s="29">
        <v>1625156</v>
      </c>
      <c r="K133" s="29"/>
      <c r="L133" s="29"/>
      <c r="M133" s="31">
        <v>0</v>
      </c>
      <c r="N133" s="31">
        <v>0</v>
      </c>
      <c r="O133" s="31">
        <v>0</v>
      </c>
      <c r="P133" s="31"/>
      <c r="Q133" s="31"/>
      <c r="R133" s="31"/>
      <c r="S133" s="31"/>
      <c r="T133" s="31"/>
      <c r="U133" s="31"/>
      <c r="V133" s="31"/>
      <c r="W133" s="31"/>
      <c r="X133" s="31"/>
      <c r="Y133" s="31">
        <f t="shared" si="6"/>
        <v>0</v>
      </c>
      <c r="Z133" s="29">
        <v>1000</v>
      </c>
      <c r="AA133" s="29">
        <v>1</v>
      </c>
      <c r="AB133" s="408">
        <v>44207</v>
      </c>
      <c r="AC133" s="408">
        <v>44249</v>
      </c>
      <c r="AD133" s="29"/>
      <c r="AE133" s="29"/>
      <c r="AF133" s="408"/>
      <c r="AG133" s="29"/>
      <c r="AH133" s="29"/>
      <c r="AI133" s="29"/>
      <c r="AJ133" s="408"/>
      <c r="AK133" s="29"/>
      <c r="AL133" s="29"/>
      <c r="AM133" s="29"/>
      <c r="AN133" s="408"/>
      <c r="AO133" s="89"/>
      <c r="AP133" s="29"/>
      <c r="AQ133" s="29"/>
      <c r="AR133" s="408"/>
      <c r="AS133" s="89"/>
      <c r="AT133" s="37">
        <f t="shared" si="4"/>
        <v>1000</v>
      </c>
      <c r="AU133" s="38">
        <f t="shared" si="5"/>
        <v>1000</v>
      </c>
    </row>
    <row r="134" spans="2:47" s="26" customFormat="1" ht="22.5" x14ac:dyDescent="0.25">
      <c r="B134" s="27">
        <f t="shared" si="7"/>
        <v>119</v>
      </c>
      <c r="C134" s="27" t="s">
        <v>39</v>
      </c>
      <c r="D134" s="28">
        <v>40004435</v>
      </c>
      <c r="E134" s="29" t="s">
        <v>1932</v>
      </c>
      <c r="F134" s="29" t="s">
        <v>54</v>
      </c>
      <c r="G134" s="30" t="s">
        <v>1761</v>
      </c>
      <c r="H134" s="29" t="s">
        <v>1793</v>
      </c>
      <c r="I134" s="29" t="s">
        <v>1763</v>
      </c>
      <c r="J134" s="29">
        <v>2309952</v>
      </c>
      <c r="K134" s="29"/>
      <c r="L134" s="29"/>
      <c r="M134" s="31">
        <v>0</v>
      </c>
      <c r="N134" s="31">
        <v>0</v>
      </c>
      <c r="O134" s="31">
        <v>0</v>
      </c>
      <c r="P134" s="31"/>
      <c r="Q134" s="31"/>
      <c r="R134" s="31"/>
      <c r="S134" s="31"/>
      <c r="T134" s="31"/>
      <c r="U134" s="31"/>
      <c r="V134" s="31"/>
      <c r="W134" s="31"/>
      <c r="X134" s="31"/>
      <c r="Y134" s="31">
        <f t="shared" si="6"/>
        <v>0</v>
      </c>
      <c r="Z134" s="29">
        <v>1000</v>
      </c>
      <c r="AA134" s="29">
        <v>1</v>
      </c>
      <c r="AB134" s="408">
        <v>44207</v>
      </c>
      <c r="AC134" s="408">
        <v>44249</v>
      </c>
      <c r="AD134" s="29"/>
      <c r="AE134" s="29"/>
      <c r="AF134" s="408"/>
      <c r="AG134" s="29"/>
      <c r="AH134" s="29"/>
      <c r="AI134" s="29"/>
      <c r="AJ134" s="408"/>
      <c r="AK134" s="29"/>
      <c r="AL134" s="29"/>
      <c r="AM134" s="29"/>
      <c r="AN134" s="408"/>
      <c r="AO134" s="89"/>
      <c r="AP134" s="29"/>
      <c r="AQ134" s="29"/>
      <c r="AR134" s="408"/>
      <c r="AS134" s="89"/>
      <c r="AT134" s="37">
        <f t="shared" si="4"/>
        <v>1000</v>
      </c>
      <c r="AU134" s="38">
        <f t="shared" si="5"/>
        <v>1000</v>
      </c>
    </row>
    <row r="135" spans="2:47" s="26" customFormat="1" ht="33.75" x14ac:dyDescent="0.25">
      <c r="B135" s="27">
        <f t="shared" si="7"/>
        <v>120</v>
      </c>
      <c r="C135" s="27" t="s">
        <v>39</v>
      </c>
      <c r="D135" s="28">
        <v>40004445</v>
      </c>
      <c r="E135" s="29" t="s">
        <v>1933</v>
      </c>
      <c r="F135" s="29" t="s">
        <v>54</v>
      </c>
      <c r="G135" s="30" t="s">
        <v>1761</v>
      </c>
      <c r="H135" s="29" t="s">
        <v>1814</v>
      </c>
      <c r="I135" s="29" t="s">
        <v>1763</v>
      </c>
      <c r="J135" s="29">
        <v>917828</v>
      </c>
      <c r="K135" s="29"/>
      <c r="L135" s="29"/>
      <c r="M135" s="31">
        <v>0</v>
      </c>
      <c r="N135" s="31">
        <v>0</v>
      </c>
      <c r="O135" s="31">
        <v>0</v>
      </c>
      <c r="P135" s="31"/>
      <c r="Q135" s="31"/>
      <c r="R135" s="31"/>
      <c r="S135" s="31"/>
      <c r="T135" s="31"/>
      <c r="U135" s="31"/>
      <c r="V135" s="31"/>
      <c r="W135" s="31"/>
      <c r="X135" s="31"/>
      <c r="Y135" s="31">
        <f t="shared" si="6"/>
        <v>0</v>
      </c>
      <c r="Z135" s="29">
        <v>1000</v>
      </c>
      <c r="AA135" s="29">
        <v>1</v>
      </c>
      <c r="AB135" s="408">
        <v>44207</v>
      </c>
      <c r="AC135" s="408">
        <v>44249</v>
      </c>
      <c r="AD135" s="29"/>
      <c r="AE135" s="29"/>
      <c r="AF135" s="408"/>
      <c r="AG135" s="29"/>
      <c r="AH135" s="29"/>
      <c r="AI135" s="29"/>
      <c r="AJ135" s="408"/>
      <c r="AK135" s="29"/>
      <c r="AL135" s="29"/>
      <c r="AM135" s="29"/>
      <c r="AN135" s="408"/>
      <c r="AO135" s="89"/>
      <c r="AP135" s="29"/>
      <c r="AQ135" s="29"/>
      <c r="AR135" s="408"/>
      <c r="AS135" s="89"/>
      <c r="AT135" s="37">
        <f t="shared" si="4"/>
        <v>1000</v>
      </c>
      <c r="AU135" s="38">
        <f t="shared" si="5"/>
        <v>1000</v>
      </c>
    </row>
    <row r="136" spans="2:47" s="26" customFormat="1" ht="22.5" x14ac:dyDescent="0.25">
      <c r="B136" s="27">
        <f t="shared" si="7"/>
        <v>121</v>
      </c>
      <c r="C136" s="27" t="s">
        <v>39</v>
      </c>
      <c r="D136" s="28">
        <v>40004582</v>
      </c>
      <c r="E136" s="29" t="s">
        <v>1934</v>
      </c>
      <c r="F136" s="29" t="s">
        <v>54</v>
      </c>
      <c r="G136" s="30" t="s">
        <v>1761</v>
      </c>
      <c r="H136" s="29" t="s">
        <v>1832</v>
      </c>
      <c r="I136" s="29" t="s">
        <v>1763</v>
      </c>
      <c r="J136" s="29">
        <v>758447</v>
      </c>
      <c r="K136" s="29"/>
      <c r="L136" s="29"/>
      <c r="M136" s="31">
        <v>0</v>
      </c>
      <c r="N136" s="31">
        <v>0</v>
      </c>
      <c r="O136" s="31">
        <v>0</v>
      </c>
      <c r="P136" s="31"/>
      <c r="Q136" s="31"/>
      <c r="R136" s="31"/>
      <c r="S136" s="31"/>
      <c r="T136" s="31"/>
      <c r="U136" s="31"/>
      <c r="V136" s="31"/>
      <c r="W136" s="31"/>
      <c r="X136" s="31"/>
      <c r="Y136" s="31">
        <f t="shared" si="6"/>
        <v>0</v>
      </c>
      <c r="Z136" s="29">
        <v>1000</v>
      </c>
      <c r="AA136" s="29">
        <v>1</v>
      </c>
      <c r="AB136" s="408">
        <v>44207</v>
      </c>
      <c r="AC136" s="408">
        <v>44249</v>
      </c>
      <c r="AD136" s="29"/>
      <c r="AE136" s="29"/>
      <c r="AF136" s="408"/>
      <c r="AG136" s="29"/>
      <c r="AH136" s="29"/>
      <c r="AI136" s="29"/>
      <c r="AJ136" s="408"/>
      <c r="AK136" s="29"/>
      <c r="AL136" s="29"/>
      <c r="AM136" s="29"/>
      <c r="AN136" s="408"/>
      <c r="AO136" s="89"/>
      <c r="AP136" s="29"/>
      <c r="AQ136" s="29"/>
      <c r="AR136" s="408"/>
      <c r="AS136" s="89"/>
      <c r="AT136" s="37">
        <f t="shared" si="4"/>
        <v>1000</v>
      </c>
      <c r="AU136" s="38">
        <f t="shared" si="5"/>
        <v>1000</v>
      </c>
    </row>
    <row r="137" spans="2:47" s="26" customFormat="1" ht="22.5" x14ac:dyDescent="0.25">
      <c r="B137" s="27">
        <f t="shared" si="7"/>
        <v>122</v>
      </c>
      <c r="C137" s="27" t="s">
        <v>39</v>
      </c>
      <c r="D137" s="28">
        <v>40004985</v>
      </c>
      <c r="E137" s="29" t="s">
        <v>1935</v>
      </c>
      <c r="F137" s="29" t="s">
        <v>54</v>
      </c>
      <c r="G137" s="30" t="s">
        <v>1761</v>
      </c>
      <c r="H137" s="29" t="s">
        <v>1918</v>
      </c>
      <c r="I137" s="29" t="s">
        <v>1763</v>
      </c>
      <c r="J137" s="29">
        <v>768579</v>
      </c>
      <c r="K137" s="29"/>
      <c r="L137" s="29"/>
      <c r="M137" s="31">
        <v>0</v>
      </c>
      <c r="N137" s="31">
        <v>0</v>
      </c>
      <c r="O137" s="31">
        <v>0</v>
      </c>
      <c r="P137" s="31"/>
      <c r="Q137" s="31"/>
      <c r="R137" s="31"/>
      <c r="S137" s="31"/>
      <c r="T137" s="31"/>
      <c r="U137" s="31"/>
      <c r="V137" s="31"/>
      <c r="W137" s="31"/>
      <c r="X137" s="31"/>
      <c r="Y137" s="31">
        <f t="shared" si="6"/>
        <v>0</v>
      </c>
      <c r="Z137" s="29">
        <v>1000</v>
      </c>
      <c r="AA137" s="29">
        <v>1</v>
      </c>
      <c r="AB137" s="408">
        <v>44207</v>
      </c>
      <c r="AC137" s="408">
        <v>44249</v>
      </c>
      <c r="AD137" s="29"/>
      <c r="AE137" s="29"/>
      <c r="AF137" s="408"/>
      <c r="AG137" s="29"/>
      <c r="AH137" s="29"/>
      <c r="AI137" s="29"/>
      <c r="AJ137" s="408"/>
      <c r="AK137" s="29"/>
      <c r="AL137" s="29"/>
      <c r="AM137" s="29"/>
      <c r="AN137" s="408"/>
      <c r="AO137" s="89"/>
      <c r="AP137" s="29"/>
      <c r="AQ137" s="29"/>
      <c r="AR137" s="408"/>
      <c r="AS137" s="89"/>
      <c r="AT137" s="37">
        <f t="shared" si="4"/>
        <v>1000</v>
      </c>
      <c r="AU137" s="38">
        <f t="shared" si="5"/>
        <v>1000</v>
      </c>
    </row>
    <row r="138" spans="2:47" s="26" customFormat="1" ht="22.5" x14ac:dyDescent="0.25">
      <c r="B138" s="27">
        <f t="shared" si="7"/>
        <v>123</v>
      </c>
      <c r="C138" s="27" t="s">
        <v>39</v>
      </c>
      <c r="D138" s="28">
        <v>40005925</v>
      </c>
      <c r="E138" s="29" t="s">
        <v>1936</v>
      </c>
      <c r="F138" s="29" t="s">
        <v>54</v>
      </c>
      <c r="G138" s="30" t="s">
        <v>1761</v>
      </c>
      <c r="H138" s="29" t="s">
        <v>1781</v>
      </c>
      <c r="I138" s="29" t="s">
        <v>1763</v>
      </c>
      <c r="J138" s="29">
        <v>767402</v>
      </c>
      <c r="K138" s="29"/>
      <c r="L138" s="29"/>
      <c r="M138" s="31">
        <v>0</v>
      </c>
      <c r="N138" s="31">
        <v>0</v>
      </c>
      <c r="O138" s="31">
        <v>0</v>
      </c>
      <c r="P138" s="31"/>
      <c r="Q138" s="31"/>
      <c r="R138" s="31"/>
      <c r="S138" s="31"/>
      <c r="T138" s="31"/>
      <c r="U138" s="31"/>
      <c r="V138" s="31"/>
      <c r="W138" s="31"/>
      <c r="X138" s="31"/>
      <c r="Y138" s="31">
        <f t="shared" si="6"/>
        <v>0</v>
      </c>
      <c r="Z138" s="29">
        <v>1000</v>
      </c>
      <c r="AA138" s="29">
        <v>1</v>
      </c>
      <c r="AB138" s="408">
        <v>44207</v>
      </c>
      <c r="AC138" s="408">
        <v>44249</v>
      </c>
      <c r="AD138" s="29"/>
      <c r="AE138" s="29"/>
      <c r="AF138" s="408"/>
      <c r="AG138" s="29"/>
      <c r="AH138" s="29"/>
      <c r="AI138" s="29"/>
      <c r="AJ138" s="408"/>
      <c r="AK138" s="29"/>
      <c r="AL138" s="29"/>
      <c r="AM138" s="29"/>
      <c r="AN138" s="408"/>
      <c r="AO138" s="89"/>
      <c r="AP138" s="29"/>
      <c r="AQ138" s="29"/>
      <c r="AR138" s="408"/>
      <c r="AS138" s="89"/>
      <c r="AT138" s="37">
        <f t="shared" si="4"/>
        <v>1000</v>
      </c>
      <c r="AU138" s="38">
        <f t="shared" si="5"/>
        <v>1000</v>
      </c>
    </row>
    <row r="139" spans="2:47" s="26" customFormat="1" ht="33.75" x14ac:dyDescent="0.25">
      <c r="B139" s="27">
        <f t="shared" si="7"/>
        <v>124</v>
      </c>
      <c r="C139" s="27" t="s">
        <v>39</v>
      </c>
      <c r="D139" s="28">
        <v>40006131</v>
      </c>
      <c r="E139" s="29" t="s">
        <v>1937</v>
      </c>
      <c r="F139" s="29" t="s">
        <v>54</v>
      </c>
      <c r="G139" s="30" t="s">
        <v>1761</v>
      </c>
      <c r="H139" s="29" t="s">
        <v>1900</v>
      </c>
      <c r="I139" s="29" t="s">
        <v>1763</v>
      </c>
      <c r="J139" s="29">
        <v>828577</v>
      </c>
      <c r="K139" s="29"/>
      <c r="L139" s="29"/>
      <c r="M139" s="31">
        <v>385133.10200000001</v>
      </c>
      <c r="N139" s="31">
        <v>1399.9</v>
      </c>
      <c r="O139" s="31">
        <v>291624.88799999998</v>
      </c>
      <c r="P139" s="31"/>
      <c r="Q139" s="31"/>
      <c r="R139" s="31"/>
      <c r="S139" s="31"/>
      <c r="T139" s="31"/>
      <c r="U139" s="31"/>
      <c r="V139" s="31"/>
      <c r="W139" s="31"/>
      <c r="X139" s="31"/>
      <c r="Y139" s="31">
        <f t="shared" si="6"/>
        <v>678157.89</v>
      </c>
      <c r="Z139" s="29">
        <v>702800</v>
      </c>
      <c r="AA139" s="29">
        <v>4</v>
      </c>
      <c r="AB139" s="408">
        <v>44221</v>
      </c>
      <c r="AC139" s="408">
        <v>44280</v>
      </c>
      <c r="AD139" s="29"/>
      <c r="AE139" s="29"/>
      <c r="AF139" s="408"/>
      <c r="AG139" s="29"/>
      <c r="AH139" s="29"/>
      <c r="AI139" s="29"/>
      <c r="AJ139" s="408"/>
      <c r="AK139" s="29"/>
      <c r="AL139" s="29"/>
      <c r="AM139" s="29"/>
      <c r="AN139" s="408"/>
      <c r="AO139" s="89"/>
      <c r="AP139" s="29"/>
      <c r="AQ139" s="29"/>
      <c r="AR139" s="408"/>
      <c r="AS139" s="89"/>
      <c r="AT139" s="37">
        <f t="shared" si="4"/>
        <v>702800</v>
      </c>
      <c r="AU139" s="38">
        <f t="shared" si="5"/>
        <v>24642.109999999986</v>
      </c>
    </row>
    <row r="140" spans="2:47" s="26" customFormat="1" ht="22.5" x14ac:dyDescent="0.25">
      <c r="B140" s="27">
        <f t="shared" si="7"/>
        <v>125</v>
      </c>
      <c r="C140" s="27" t="s">
        <v>39</v>
      </c>
      <c r="D140" s="28">
        <v>40006186</v>
      </c>
      <c r="E140" s="29" t="s">
        <v>1938</v>
      </c>
      <c r="F140" s="29" t="s">
        <v>54</v>
      </c>
      <c r="G140" s="30" t="s">
        <v>1761</v>
      </c>
      <c r="H140" s="29" t="s">
        <v>1848</v>
      </c>
      <c r="I140" s="29" t="s">
        <v>1763</v>
      </c>
      <c r="J140" s="29">
        <v>3207300</v>
      </c>
      <c r="K140" s="29"/>
      <c r="L140" s="29"/>
      <c r="M140" s="31">
        <v>251656.82500000001</v>
      </c>
      <c r="N140" s="31">
        <v>249178.304</v>
      </c>
      <c r="O140" s="31">
        <v>1650</v>
      </c>
      <c r="P140" s="31"/>
      <c r="Q140" s="31"/>
      <c r="R140" s="31"/>
      <c r="S140" s="31"/>
      <c r="T140" s="31"/>
      <c r="U140" s="31"/>
      <c r="V140" s="31"/>
      <c r="W140" s="31"/>
      <c r="X140" s="31"/>
      <c r="Y140" s="31">
        <f t="shared" si="6"/>
        <v>502485.12900000002</v>
      </c>
      <c r="Z140" s="29">
        <v>500000</v>
      </c>
      <c r="AA140" s="29">
        <v>4</v>
      </c>
      <c r="AB140" s="408">
        <v>44221</v>
      </c>
      <c r="AC140" s="408">
        <v>44280</v>
      </c>
      <c r="AD140" s="29"/>
      <c r="AE140" s="29"/>
      <c r="AF140" s="408"/>
      <c r="AG140" s="29"/>
      <c r="AH140" s="29"/>
      <c r="AI140" s="29"/>
      <c r="AJ140" s="408"/>
      <c r="AK140" s="29"/>
      <c r="AL140" s="29"/>
      <c r="AM140" s="29"/>
      <c r="AN140" s="408"/>
      <c r="AO140" s="89"/>
      <c r="AP140" s="29"/>
      <c r="AQ140" s="29"/>
      <c r="AR140" s="408"/>
      <c r="AS140" s="89"/>
      <c r="AT140" s="37">
        <f t="shared" si="4"/>
        <v>500000</v>
      </c>
      <c r="AU140" s="38">
        <f t="shared" si="5"/>
        <v>-2485.1290000000154</v>
      </c>
    </row>
    <row r="141" spans="2:47" s="26" customFormat="1" ht="22.5" x14ac:dyDescent="0.25">
      <c r="B141" s="27">
        <f t="shared" si="7"/>
        <v>126</v>
      </c>
      <c r="C141" s="27" t="s">
        <v>39</v>
      </c>
      <c r="D141" s="28">
        <v>40006512</v>
      </c>
      <c r="E141" s="29" t="s">
        <v>1939</v>
      </c>
      <c r="F141" s="29" t="s">
        <v>54</v>
      </c>
      <c r="G141" s="30" t="s">
        <v>1761</v>
      </c>
      <c r="H141" s="29" t="s">
        <v>1814</v>
      </c>
      <c r="I141" s="29" t="s">
        <v>1763</v>
      </c>
      <c r="J141" s="29">
        <v>613164</v>
      </c>
      <c r="K141" s="29"/>
      <c r="L141" s="29"/>
      <c r="M141" s="31">
        <v>0</v>
      </c>
      <c r="N141" s="31">
        <v>0</v>
      </c>
      <c r="O141" s="31">
        <v>0</v>
      </c>
      <c r="P141" s="31"/>
      <c r="Q141" s="31"/>
      <c r="R141" s="31"/>
      <c r="S141" s="31"/>
      <c r="T141" s="31"/>
      <c r="U141" s="31"/>
      <c r="V141" s="31"/>
      <c r="W141" s="31"/>
      <c r="X141" s="31"/>
      <c r="Y141" s="31">
        <f t="shared" si="6"/>
        <v>0</v>
      </c>
      <c r="Z141" s="29">
        <v>1000</v>
      </c>
      <c r="AA141" s="29">
        <v>1</v>
      </c>
      <c r="AB141" s="408">
        <v>44207</v>
      </c>
      <c r="AC141" s="408">
        <v>44249</v>
      </c>
      <c r="AD141" s="29"/>
      <c r="AE141" s="29"/>
      <c r="AF141" s="408"/>
      <c r="AG141" s="29"/>
      <c r="AH141" s="29"/>
      <c r="AI141" s="29"/>
      <c r="AJ141" s="408"/>
      <c r="AK141" s="29"/>
      <c r="AL141" s="29"/>
      <c r="AM141" s="29"/>
      <c r="AN141" s="408"/>
      <c r="AO141" s="89"/>
      <c r="AP141" s="29"/>
      <c r="AQ141" s="29"/>
      <c r="AR141" s="408"/>
      <c r="AS141" s="89"/>
      <c r="AT141" s="37">
        <f t="shared" si="4"/>
        <v>1000</v>
      </c>
      <c r="AU141" s="38">
        <f t="shared" si="5"/>
        <v>1000</v>
      </c>
    </row>
    <row r="142" spans="2:47" s="26" customFormat="1" ht="22.5" x14ac:dyDescent="0.25">
      <c r="B142" s="27">
        <f t="shared" si="7"/>
        <v>127</v>
      </c>
      <c r="C142" s="27" t="s">
        <v>39</v>
      </c>
      <c r="D142" s="28">
        <v>40007611</v>
      </c>
      <c r="E142" s="29" t="s">
        <v>1940</v>
      </c>
      <c r="F142" s="29" t="s">
        <v>54</v>
      </c>
      <c r="G142" s="30" t="s">
        <v>1761</v>
      </c>
      <c r="H142" s="29" t="s">
        <v>1795</v>
      </c>
      <c r="I142" s="29" t="s">
        <v>1763</v>
      </c>
      <c r="J142" s="29">
        <v>753602</v>
      </c>
      <c r="K142" s="29"/>
      <c r="L142" s="29"/>
      <c r="M142" s="31">
        <v>0</v>
      </c>
      <c r="N142" s="31">
        <v>0</v>
      </c>
      <c r="O142" s="31">
        <v>0</v>
      </c>
      <c r="P142" s="31"/>
      <c r="Q142" s="31"/>
      <c r="R142" s="31"/>
      <c r="S142" s="31"/>
      <c r="T142" s="31"/>
      <c r="U142" s="31"/>
      <c r="V142" s="31"/>
      <c r="W142" s="31"/>
      <c r="X142" s="31"/>
      <c r="Y142" s="31">
        <f t="shared" si="6"/>
        <v>0</v>
      </c>
      <c r="Z142" s="29">
        <v>200000</v>
      </c>
      <c r="AA142" s="29">
        <v>4</v>
      </c>
      <c r="AB142" s="408">
        <v>44221</v>
      </c>
      <c r="AC142" s="408">
        <v>44280</v>
      </c>
      <c r="AD142" s="29"/>
      <c r="AE142" s="29"/>
      <c r="AF142" s="408"/>
      <c r="AG142" s="29"/>
      <c r="AH142" s="29"/>
      <c r="AI142" s="29"/>
      <c r="AJ142" s="408"/>
      <c r="AK142" s="29"/>
      <c r="AL142" s="29"/>
      <c r="AM142" s="29"/>
      <c r="AN142" s="408"/>
      <c r="AO142" s="89"/>
      <c r="AP142" s="29"/>
      <c r="AQ142" s="29"/>
      <c r="AR142" s="408"/>
      <c r="AS142" s="89"/>
      <c r="AT142" s="37">
        <f t="shared" si="4"/>
        <v>200000</v>
      </c>
      <c r="AU142" s="38">
        <f t="shared" si="5"/>
        <v>200000</v>
      </c>
    </row>
    <row r="143" spans="2:47" s="26" customFormat="1" ht="22.5" x14ac:dyDescent="0.25">
      <c r="B143" s="27">
        <f t="shared" si="7"/>
        <v>128</v>
      </c>
      <c r="C143" s="27" t="s">
        <v>39</v>
      </c>
      <c r="D143" s="28">
        <v>40007655</v>
      </c>
      <c r="E143" s="29" t="s">
        <v>1941</v>
      </c>
      <c r="F143" s="29" t="s">
        <v>54</v>
      </c>
      <c r="G143" s="30" t="s">
        <v>1761</v>
      </c>
      <c r="H143" s="29" t="s">
        <v>1843</v>
      </c>
      <c r="I143" s="29" t="s">
        <v>1763</v>
      </c>
      <c r="J143" s="29">
        <v>127426</v>
      </c>
      <c r="K143" s="29"/>
      <c r="L143" s="29"/>
      <c r="M143" s="31">
        <v>0</v>
      </c>
      <c r="N143" s="31">
        <v>0</v>
      </c>
      <c r="O143" s="31">
        <v>0</v>
      </c>
      <c r="P143" s="31"/>
      <c r="Q143" s="31"/>
      <c r="R143" s="31"/>
      <c r="S143" s="31"/>
      <c r="T143" s="31"/>
      <c r="U143" s="31"/>
      <c r="V143" s="31"/>
      <c r="W143" s="31"/>
      <c r="X143" s="31"/>
      <c r="Y143" s="31">
        <f t="shared" si="6"/>
        <v>0</v>
      </c>
      <c r="Z143" s="29">
        <v>1000</v>
      </c>
      <c r="AA143" s="29">
        <v>1</v>
      </c>
      <c r="AB143" s="408">
        <v>44207</v>
      </c>
      <c r="AC143" s="408">
        <v>44249</v>
      </c>
      <c r="AD143" s="29"/>
      <c r="AE143" s="29"/>
      <c r="AF143" s="408"/>
      <c r="AG143" s="29"/>
      <c r="AH143" s="29"/>
      <c r="AI143" s="29"/>
      <c r="AJ143" s="408"/>
      <c r="AK143" s="29"/>
      <c r="AL143" s="29"/>
      <c r="AM143" s="29"/>
      <c r="AN143" s="408"/>
      <c r="AO143" s="89"/>
      <c r="AP143" s="29"/>
      <c r="AQ143" s="29"/>
      <c r="AR143" s="408"/>
      <c r="AS143" s="89"/>
      <c r="AT143" s="37">
        <f t="shared" si="4"/>
        <v>1000</v>
      </c>
      <c r="AU143" s="38">
        <f t="shared" si="5"/>
        <v>1000</v>
      </c>
    </row>
    <row r="144" spans="2:47" s="26" customFormat="1" ht="33.75" x14ac:dyDescent="0.25">
      <c r="B144" s="27">
        <f t="shared" si="7"/>
        <v>129</v>
      </c>
      <c r="C144" s="27" t="s">
        <v>39</v>
      </c>
      <c r="D144" s="28">
        <v>40007826</v>
      </c>
      <c r="E144" s="29" t="s">
        <v>1942</v>
      </c>
      <c r="F144" s="29" t="s">
        <v>60</v>
      </c>
      <c r="G144" s="30" t="s">
        <v>1761</v>
      </c>
      <c r="H144" s="29" t="s">
        <v>1906</v>
      </c>
      <c r="I144" s="29" t="s">
        <v>1763</v>
      </c>
      <c r="J144" s="29">
        <v>124523</v>
      </c>
      <c r="K144" s="29"/>
      <c r="L144" s="29"/>
      <c r="M144" s="31">
        <v>0</v>
      </c>
      <c r="N144" s="31">
        <v>0</v>
      </c>
      <c r="O144" s="31">
        <v>0</v>
      </c>
      <c r="P144" s="31"/>
      <c r="Q144" s="31"/>
      <c r="R144" s="31"/>
      <c r="S144" s="31"/>
      <c r="T144" s="31"/>
      <c r="U144" s="31"/>
      <c r="V144" s="31"/>
      <c r="W144" s="31"/>
      <c r="X144" s="31"/>
      <c r="Y144" s="31">
        <f t="shared" si="6"/>
        <v>0</v>
      </c>
      <c r="Z144" s="29">
        <v>1000</v>
      </c>
      <c r="AA144" s="29">
        <v>1</v>
      </c>
      <c r="AB144" s="408">
        <v>44207</v>
      </c>
      <c r="AC144" s="408">
        <v>44249</v>
      </c>
      <c r="AD144" s="29"/>
      <c r="AE144" s="29"/>
      <c r="AF144" s="408"/>
      <c r="AG144" s="29"/>
      <c r="AH144" s="29"/>
      <c r="AI144" s="29"/>
      <c r="AJ144" s="408"/>
      <c r="AK144" s="29"/>
      <c r="AL144" s="29"/>
      <c r="AM144" s="29"/>
      <c r="AN144" s="408"/>
      <c r="AO144" s="89"/>
      <c r="AP144" s="29"/>
      <c r="AQ144" s="29"/>
      <c r="AR144" s="408"/>
      <c r="AS144" s="89"/>
      <c r="AT144" s="37">
        <f t="shared" ref="AT144:AT207" si="8">+Z144+AD144+AH144+AL144+AP144</f>
        <v>1000</v>
      </c>
      <c r="AU144" s="38">
        <f t="shared" ref="AU144:AU207" si="9">+AT144-Y144</f>
        <v>1000</v>
      </c>
    </row>
    <row r="145" spans="2:47" s="26" customFormat="1" ht="45" x14ac:dyDescent="0.25">
      <c r="B145" s="27">
        <f t="shared" si="7"/>
        <v>130</v>
      </c>
      <c r="C145" s="27" t="s">
        <v>39</v>
      </c>
      <c r="D145" s="28">
        <v>40008013</v>
      </c>
      <c r="E145" s="29" t="s">
        <v>1943</v>
      </c>
      <c r="F145" s="29" t="s">
        <v>54</v>
      </c>
      <c r="G145" s="30" t="s">
        <v>1761</v>
      </c>
      <c r="H145" s="29" t="s">
        <v>1771</v>
      </c>
      <c r="I145" s="29" t="s">
        <v>1763</v>
      </c>
      <c r="J145" s="29">
        <v>503464</v>
      </c>
      <c r="K145" s="29"/>
      <c r="L145" s="29"/>
      <c r="M145" s="31">
        <v>174.40799999999999</v>
      </c>
      <c r="N145" s="31">
        <v>92557.906000000003</v>
      </c>
      <c r="O145" s="31">
        <v>0</v>
      </c>
      <c r="P145" s="31"/>
      <c r="Q145" s="31"/>
      <c r="R145" s="31"/>
      <c r="S145" s="31"/>
      <c r="T145" s="31"/>
      <c r="U145" s="31"/>
      <c r="V145" s="31"/>
      <c r="W145" s="31"/>
      <c r="X145" s="31"/>
      <c r="Y145" s="31">
        <f t="shared" ref="Y145:Y208" si="10">SUM(M145:X145)</f>
        <v>92732.313999999998</v>
      </c>
      <c r="Z145" s="29">
        <v>253500</v>
      </c>
      <c r="AA145" s="29">
        <v>4</v>
      </c>
      <c r="AB145" s="408">
        <v>44221</v>
      </c>
      <c r="AC145" s="408">
        <v>44280</v>
      </c>
      <c r="AD145" s="29"/>
      <c r="AE145" s="29"/>
      <c r="AF145" s="408"/>
      <c r="AG145" s="29"/>
      <c r="AH145" s="29"/>
      <c r="AI145" s="29"/>
      <c r="AJ145" s="408"/>
      <c r="AK145" s="29"/>
      <c r="AL145" s="29"/>
      <c r="AM145" s="29"/>
      <c r="AN145" s="408"/>
      <c r="AO145" s="89"/>
      <c r="AP145" s="29"/>
      <c r="AQ145" s="29"/>
      <c r="AR145" s="408"/>
      <c r="AS145" s="89"/>
      <c r="AT145" s="37">
        <f t="shared" si="8"/>
        <v>253500</v>
      </c>
      <c r="AU145" s="38">
        <f t="shared" si="9"/>
        <v>160767.68599999999</v>
      </c>
    </row>
    <row r="146" spans="2:47" s="26" customFormat="1" ht="33.75" x14ac:dyDescent="0.25">
      <c r="B146" s="27">
        <f t="shared" si="7"/>
        <v>131</v>
      </c>
      <c r="C146" s="27" t="s">
        <v>39</v>
      </c>
      <c r="D146" s="28">
        <v>40008264</v>
      </c>
      <c r="E146" s="29" t="s">
        <v>1944</v>
      </c>
      <c r="F146" s="29" t="s">
        <v>54</v>
      </c>
      <c r="G146" s="30" t="s">
        <v>1761</v>
      </c>
      <c r="H146" s="29" t="s">
        <v>1819</v>
      </c>
      <c r="I146" s="29" t="s">
        <v>1763</v>
      </c>
      <c r="J146" s="29">
        <v>228423</v>
      </c>
      <c r="K146" s="29"/>
      <c r="L146" s="29"/>
      <c r="M146" s="31">
        <v>0</v>
      </c>
      <c r="N146" s="31">
        <v>0</v>
      </c>
      <c r="O146" s="31">
        <v>0</v>
      </c>
      <c r="P146" s="31"/>
      <c r="Q146" s="31"/>
      <c r="R146" s="31"/>
      <c r="S146" s="31"/>
      <c r="T146" s="31"/>
      <c r="U146" s="31"/>
      <c r="V146" s="31"/>
      <c r="W146" s="31"/>
      <c r="X146" s="31"/>
      <c r="Y146" s="31">
        <f t="shared" si="10"/>
        <v>0</v>
      </c>
      <c r="Z146" s="29">
        <v>1000</v>
      </c>
      <c r="AA146" s="29">
        <v>1</v>
      </c>
      <c r="AB146" s="408">
        <v>44207</v>
      </c>
      <c r="AC146" s="408">
        <v>44249</v>
      </c>
      <c r="AD146" s="29"/>
      <c r="AE146" s="29"/>
      <c r="AF146" s="408"/>
      <c r="AG146" s="29"/>
      <c r="AH146" s="29"/>
      <c r="AI146" s="29"/>
      <c r="AJ146" s="408"/>
      <c r="AK146" s="29"/>
      <c r="AL146" s="29"/>
      <c r="AM146" s="29"/>
      <c r="AN146" s="408"/>
      <c r="AO146" s="89"/>
      <c r="AP146" s="29"/>
      <c r="AQ146" s="29"/>
      <c r="AR146" s="408"/>
      <c r="AS146" s="89"/>
      <c r="AT146" s="37">
        <f t="shared" si="8"/>
        <v>1000</v>
      </c>
      <c r="AU146" s="38">
        <f t="shared" si="9"/>
        <v>1000</v>
      </c>
    </row>
    <row r="147" spans="2:47" s="26" customFormat="1" ht="22.5" x14ac:dyDescent="0.25">
      <c r="B147" s="27">
        <f t="shared" si="7"/>
        <v>132</v>
      </c>
      <c r="C147" s="27" t="s">
        <v>39</v>
      </c>
      <c r="D147" s="28">
        <v>40008352</v>
      </c>
      <c r="E147" s="29" t="s">
        <v>1945</v>
      </c>
      <c r="F147" s="29" t="s">
        <v>54</v>
      </c>
      <c r="G147" s="30" t="s">
        <v>1761</v>
      </c>
      <c r="H147" s="29" t="s">
        <v>1819</v>
      </c>
      <c r="I147" s="29" t="s">
        <v>1763</v>
      </c>
      <c r="J147" s="29">
        <v>29829</v>
      </c>
      <c r="K147" s="29"/>
      <c r="L147" s="29"/>
      <c r="M147" s="31">
        <v>0</v>
      </c>
      <c r="N147" s="31">
        <v>0</v>
      </c>
      <c r="O147" s="31">
        <v>0</v>
      </c>
      <c r="P147" s="31"/>
      <c r="Q147" s="31"/>
      <c r="R147" s="31"/>
      <c r="S147" s="31"/>
      <c r="T147" s="31"/>
      <c r="U147" s="31"/>
      <c r="V147" s="31"/>
      <c r="W147" s="31"/>
      <c r="X147" s="31"/>
      <c r="Y147" s="31">
        <f t="shared" si="10"/>
        <v>0</v>
      </c>
      <c r="Z147" s="29">
        <v>1000</v>
      </c>
      <c r="AA147" s="29">
        <v>1</v>
      </c>
      <c r="AB147" s="408">
        <v>44207</v>
      </c>
      <c r="AC147" s="408">
        <v>44249</v>
      </c>
      <c r="AD147" s="29"/>
      <c r="AE147" s="29"/>
      <c r="AF147" s="408"/>
      <c r="AG147" s="29"/>
      <c r="AH147" s="29"/>
      <c r="AI147" s="29"/>
      <c r="AJ147" s="408"/>
      <c r="AK147" s="29"/>
      <c r="AL147" s="29"/>
      <c r="AM147" s="29"/>
      <c r="AN147" s="408"/>
      <c r="AO147" s="89"/>
      <c r="AP147" s="29"/>
      <c r="AQ147" s="29"/>
      <c r="AR147" s="408"/>
      <c r="AS147" s="89"/>
      <c r="AT147" s="37">
        <f t="shared" si="8"/>
        <v>1000</v>
      </c>
      <c r="AU147" s="38">
        <f t="shared" si="9"/>
        <v>1000</v>
      </c>
    </row>
    <row r="148" spans="2:47" s="26" customFormat="1" ht="22.5" x14ac:dyDescent="0.25">
      <c r="B148" s="27">
        <f t="shared" si="7"/>
        <v>133</v>
      </c>
      <c r="C148" s="27" t="s">
        <v>39</v>
      </c>
      <c r="D148" s="28">
        <v>40008374</v>
      </c>
      <c r="E148" s="29" t="s">
        <v>1946</v>
      </c>
      <c r="F148" s="29" t="s">
        <v>54</v>
      </c>
      <c r="G148" s="30" t="s">
        <v>1761</v>
      </c>
      <c r="H148" s="29" t="s">
        <v>1900</v>
      </c>
      <c r="I148" s="29" t="s">
        <v>1763</v>
      </c>
      <c r="J148" s="29">
        <v>52778</v>
      </c>
      <c r="K148" s="29"/>
      <c r="L148" s="29"/>
      <c r="M148" s="31">
        <v>0</v>
      </c>
      <c r="N148" s="31">
        <v>0</v>
      </c>
      <c r="O148" s="31">
        <v>0</v>
      </c>
      <c r="P148" s="31"/>
      <c r="Q148" s="31"/>
      <c r="R148" s="31"/>
      <c r="S148" s="31"/>
      <c r="T148" s="31"/>
      <c r="U148" s="31"/>
      <c r="V148" s="31"/>
      <c r="W148" s="31"/>
      <c r="X148" s="31"/>
      <c r="Y148" s="31">
        <f t="shared" si="10"/>
        <v>0</v>
      </c>
      <c r="Z148" s="29">
        <v>1000</v>
      </c>
      <c r="AA148" s="29">
        <v>1</v>
      </c>
      <c r="AB148" s="408">
        <v>44207</v>
      </c>
      <c r="AC148" s="408">
        <v>44249</v>
      </c>
      <c r="AD148" s="29"/>
      <c r="AE148" s="29"/>
      <c r="AF148" s="408"/>
      <c r="AG148" s="29"/>
      <c r="AH148" s="29"/>
      <c r="AI148" s="29"/>
      <c r="AJ148" s="408"/>
      <c r="AK148" s="29"/>
      <c r="AL148" s="29"/>
      <c r="AM148" s="29"/>
      <c r="AN148" s="408"/>
      <c r="AO148" s="89"/>
      <c r="AP148" s="29"/>
      <c r="AQ148" s="29"/>
      <c r="AR148" s="408"/>
      <c r="AS148" s="89"/>
      <c r="AT148" s="37">
        <f t="shared" si="8"/>
        <v>1000</v>
      </c>
      <c r="AU148" s="38">
        <f t="shared" si="9"/>
        <v>1000</v>
      </c>
    </row>
    <row r="149" spans="2:47" s="26" customFormat="1" ht="22.5" x14ac:dyDescent="0.25">
      <c r="B149" s="27">
        <f t="shared" si="7"/>
        <v>134</v>
      </c>
      <c r="C149" s="27" t="s">
        <v>39</v>
      </c>
      <c r="D149" s="28">
        <v>40008570</v>
      </c>
      <c r="E149" s="29" t="s">
        <v>1947</v>
      </c>
      <c r="F149" s="29" t="s">
        <v>54</v>
      </c>
      <c r="G149" s="30" t="s">
        <v>1761</v>
      </c>
      <c r="H149" s="29" t="s">
        <v>1832</v>
      </c>
      <c r="I149" s="29" t="s">
        <v>1763</v>
      </c>
      <c r="J149" s="29">
        <v>155647</v>
      </c>
      <c r="K149" s="29"/>
      <c r="L149" s="29"/>
      <c r="M149" s="31">
        <v>1652.5530000000001</v>
      </c>
      <c r="N149" s="31">
        <v>0</v>
      </c>
      <c r="O149" s="31">
        <v>0</v>
      </c>
      <c r="P149" s="31"/>
      <c r="Q149" s="31"/>
      <c r="R149" s="31"/>
      <c r="S149" s="31"/>
      <c r="T149" s="31"/>
      <c r="U149" s="31"/>
      <c r="V149" s="31"/>
      <c r="W149" s="31"/>
      <c r="X149" s="31"/>
      <c r="Y149" s="31">
        <f t="shared" si="10"/>
        <v>1652.5530000000001</v>
      </c>
      <c r="Z149" s="29">
        <v>9000</v>
      </c>
      <c r="AA149" s="29">
        <v>4</v>
      </c>
      <c r="AB149" s="408">
        <v>44221</v>
      </c>
      <c r="AC149" s="408">
        <v>44280</v>
      </c>
      <c r="AD149" s="29"/>
      <c r="AE149" s="29"/>
      <c r="AF149" s="408"/>
      <c r="AG149" s="29"/>
      <c r="AH149" s="29"/>
      <c r="AI149" s="29"/>
      <c r="AJ149" s="408"/>
      <c r="AK149" s="29"/>
      <c r="AL149" s="29"/>
      <c r="AM149" s="29"/>
      <c r="AN149" s="408"/>
      <c r="AO149" s="89"/>
      <c r="AP149" s="29"/>
      <c r="AQ149" s="29"/>
      <c r="AR149" s="408"/>
      <c r="AS149" s="89"/>
      <c r="AT149" s="37">
        <f t="shared" si="8"/>
        <v>9000</v>
      </c>
      <c r="AU149" s="38">
        <f t="shared" si="9"/>
        <v>7347.4470000000001</v>
      </c>
    </row>
    <row r="150" spans="2:47" s="26" customFormat="1" ht="22.5" x14ac:dyDescent="0.25">
      <c r="B150" s="27">
        <f t="shared" si="7"/>
        <v>135</v>
      </c>
      <c r="C150" s="27" t="s">
        <v>39</v>
      </c>
      <c r="D150" s="28">
        <v>40008589</v>
      </c>
      <c r="E150" s="29" t="s">
        <v>1948</v>
      </c>
      <c r="F150" s="29" t="s">
        <v>54</v>
      </c>
      <c r="G150" s="30" t="s">
        <v>1761</v>
      </c>
      <c r="H150" s="29" t="s">
        <v>1767</v>
      </c>
      <c r="I150" s="29" t="s">
        <v>1763</v>
      </c>
      <c r="J150" s="29">
        <v>162824</v>
      </c>
      <c r="K150" s="29"/>
      <c r="L150" s="29"/>
      <c r="M150" s="31">
        <v>0</v>
      </c>
      <c r="N150" s="31">
        <v>0</v>
      </c>
      <c r="O150" s="31">
        <v>0</v>
      </c>
      <c r="P150" s="31"/>
      <c r="Q150" s="31"/>
      <c r="R150" s="31"/>
      <c r="S150" s="31"/>
      <c r="T150" s="31"/>
      <c r="U150" s="31"/>
      <c r="V150" s="31"/>
      <c r="W150" s="31"/>
      <c r="X150" s="31"/>
      <c r="Y150" s="31">
        <f t="shared" si="10"/>
        <v>0</v>
      </c>
      <c r="Z150" s="29">
        <v>1000</v>
      </c>
      <c r="AA150" s="29">
        <v>1</v>
      </c>
      <c r="AB150" s="408">
        <v>44207</v>
      </c>
      <c r="AC150" s="408">
        <v>44249</v>
      </c>
      <c r="AD150" s="29"/>
      <c r="AE150" s="29"/>
      <c r="AF150" s="408"/>
      <c r="AG150" s="29"/>
      <c r="AH150" s="29"/>
      <c r="AI150" s="29"/>
      <c r="AJ150" s="408"/>
      <c r="AK150" s="29"/>
      <c r="AL150" s="29"/>
      <c r="AM150" s="29"/>
      <c r="AN150" s="408"/>
      <c r="AO150" s="89"/>
      <c r="AP150" s="29"/>
      <c r="AQ150" s="29"/>
      <c r="AR150" s="408"/>
      <c r="AS150" s="89"/>
      <c r="AT150" s="37">
        <f t="shared" si="8"/>
        <v>1000</v>
      </c>
      <c r="AU150" s="38">
        <f t="shared" si="9"/>
        <v>1000</v>
      </c>
    </row>
    <row r="151" spans="2:47" s="26" customFormat="1" ht="22.5" x14ac:dyDescent="0.25">
      <c r="B151" s="27">
        <f t="shared" si="7"/>
        <v>136</v>
      </c>
      <c r="C151" s="27" t="s">
        <v>39</v>
      </c>
      <c r="D151" s="28">
        <v>40008592</v>
      </c>
      <c r="E151" s="29" t="s">
        <v>1949</v>
      </c>
      <c r="F151" s="29" t="s">
        <v>54</v>
      </c>
      <c r="G151" s="30" t="s">
        <v>1761</v>
      </c>
      <c r="H151" s="29" t="s">
        <v>1891</v>
      </c>
      <c r="I151" s="29" t="s">
        <v>1763</v>
      </c>
      <c r="J151" s="29">
        <v>320974</v>
      </c>
      <c r="K151" s="29"/>
      <c r="L151" s="29"/>
      <c r="M151" s="31">
        <v>0</v>
      </c>
      <c r="N151" s="31">
        <v>0</v>
      </c>
      <c r="O151" s="31">
        <v>0</v>
      </c>
      <c r="P151" s="31"/>
      <c r="Q151" s="31"/>
      <c r="R151" s="31"/>
      <c r="S151" s="31"/>
      <c r="T151" s="31"/>
      <c r="U151" s="31"/>
      <c r="V151" s="31"/>
      <c r="W151" s="31"/>
      <c r="X151" s="31"/>
      <c r="Y151" s="31">
        <f t="shared" si="10"/>
        <v>0</v>
      </c>
      <c r="Z151" s="29">
        <v>1000</v>
      </c>
      <c r="AA151" s="29">
        <v>1</v>
      </c>
      <c r="AB151" s="408">
        <v>44207</v>
      </c>
      <c r="AC151" s="408">
        <v>44249</v>
      </c>
      <c r="AD151" s="29"/>
      <c r="AE151" s="29"/>
      <c r="AF151" s="408"/>
      <c r="AG151" s="29"/>
      <c r="AH151" s="29"/>
      <c r="AI151" s="29"/>
      <c r="AJ151" s="408"/>
      <c r="AK151" s="29"/>
      <c r="AL151" s="29"/>
      <c r="AM151" s="29"/>
      <c r="AN151" s="408"/>
      <c r="AO151" s="89"/>
      <c r="AP151" s="29"/>
      <c r="AQ151" s="29"/>
      <c r="AR151" s="408"/>
      <c r="AS151" s="89"/>
      <c r="AT151" s="37">
        <f t="shared" si="8"/>
        <v>1000</v>
      </c>
      <c r="AU151" s="38">
        <f t="shared" si="9"/>
        <v>1000</v>
      </c>
    </row>
    <row r="152" spans="2:47" s="26" customFormat="1" ht="22.5" x14ac:dyDescent="0.25">
      <c r="B152" s="27">
        <f t="shared" si="7"/>
        <v>137</v>
      </c>
      <c r="C152" s="27" t="s">
        <v>39</v>
      </c>
      <c r="D152" s="28">
        <v>40008642</v>
      </c>
      <c r="E152" s="29" t="s">
        <v>1950</v>
      </c>
      <c r="F152" s="29" t="s">
        <v>54</v>
      </c>
      <c r="G152" s="30" t="s">
        <v>1761</v>
      </c>
      <c r="H152" s="29" t="s">
        <v>1783</v>
      </c>
      <c r="I152" s="29" t="s">
        <v>1763</v>
      </c>
      <c r="J152" s="29">
        <v>59430</v>
      </c>
      <c r="K152" s="29"/>
      <c r="L152" s="29"/>
      <c r="M152" s="31">
        <v>0</v>
      </c>
      <c r="N152" s="31">
        <v>0</v>
      </c>
      <c r="O152" s="31">
        <v>0</v>
      </c>
      <c r="P152" s="31"/>
      <c r="Q152" s="31"/>
      <c r="R152" s="31"/>
      <c r="S152" s="31"/>
      <c r="T152" s="31"/>
      <c r="U152" s="31"/>
      <c r="V152" s="31"/>
      <c r="W152" s="31"/>
      <c r="X152" s="31"/>
      <c r="Y152" s="31">
        <f t="shared" si="10"/>
        <v>0</v>
      </c>
      <c r="Z152" s="29">
        <v>1000</v>
      </c>
      <c r="AA152" s="29">
        <v>1</v>
      </c>
      <c r="AB152" s="408">
        <v>44207</v>
      </c>
      <c r="AC152" s="408">
        <v>44249</v>
      </c>
      <c r="AD152" s="29"/>
      <c r="AE152" s="29"/>
      <c r="AF152" s="408"/>
      <c r="AG152" s="29"/>
      <c r="AH152" s="29"/>
      <c r="AI152" s="29"/>
      <c r="AJ152" s="408"/>
      <c r="AK152" s="29"/>
      <c r="AL152" s="29"/>
      <c r="AM152" s="29"/>
      <c r="AN152" s="408"/>
      <c r="AO152" s="89"/>
      <c r="AP152" s="29"/>
      <c r="AQ152" s="29"/>
      <c r="AR152" s="408"/>
      <c r="AS152" s="89"/>
      <c r="AT152" s="37">
        <f t="shared" si="8"/>
        <v>1000</v>
      </c>
      <c r="AU152" s="38">
        <f t="shared" si="9"/>
        <v>1000</v>
      </c>
    </row>
    <row r="153" spans="2:47" s="26" customFormat="1" ht="22.5" x14ac:dyDescent="0.25">
      <c r="B153" s="27">
        <f t="shared" si="7"/>
        <v>138</v>
      </c>
      <c r="C153" s="27" t="s">
        <v>39</v>
      </c>
      <c r="D153" s="28">
        <v>40008668</v>
      </c>
      <c r="E153" s="29" t="s">
        <v>1951</v>
      </c>
      <c r="F153" s="29" t="s">
        <v>54</v>
      </c>
      <c r="G153" s="30" t="s">
        <v>1761</v>
      </c>
      <c r="H153" s="29" t="s">
        <v>1816</v>
      </c>
      <c r="I153" s="29" t="s">
        <v>1763</v>
      </c>
      <c r="J153" s="29">
        <v>2757</v>
      </c>
      <c r="K153" s="29"/>
      <c r="L153" s="29"/>
      <c r="M153" s="31">
        <v>1594.6</v>
      </c>
      <c r="N153" s="31">
        <v>0</v>
      </c>
      <c r="O153" s="31">
        <v>0</v>
      </c>
      <c r="P153" s="31"/>
      <c r="Q153" s="31"/>
      <c r="R153" s="31"/>
      <c r="S153" s="31"/>
      <c r="T153" s="31"/>
      <c r="U153" s="31"/>
      <c r="V153" s="31"/>
      <c r="W153" s="31"/>
      <c r="X153" s="31"/>
      <c r="Y153" s="31">
        <f t="shared" si="10"/>
        <v>1594.6</v>
      </c>
      <c r="Z153" s="29">
        <v>2757</v>
      </c>
      <c r="AA153" s="29">
        <v>4</v>
      </c>
      <c r="AB153" s="408">
        <v>44221</v>
      </c>
      <c r="AC153" s="408">
        <v>44280</v>
      </c>
      <c r="AD153" s="29"/>
      <c r="AE153" s="29"/>
      <c r="AF153" s="408"/>
      <c r="AG153" s="29"/>
      <c r="AH153" s="29"/>
      <c r="AI153" s="29"/>
      <c r="AJ153" s="408"/>
      <c r="AK153" s="29"/>
      <c r="AL153" s="29"/>
      <c r="AM153" s="29"/>
      <c r="AN153" s="408"/>
      <c r="AO153" s="89"/>
      <c r="AP153" s="29"/>
      <c r="AQ153" s="29"/>
      <c r="AR153" s="408"/>
      <c r="AS153" s="89"/>
      <c r="AT153" s="37">
        <f t="shared" si="8"/>
        <v>2757</v>
      </c>
      <c r="AU153" s="38">
        <f t="shared" si="9"/>
        <v>1162.4000000000001</v>
      </c>
    </row>
    <row r="154" spans="2:47" s="26" customFormat="1" ht="22.5" x14ac:dyDescent="0.25">
      <c r="B154" s="27">
        <f t="shared" si="7"/>
        <v>139</v>
      </c>
      <c r="C154" s="27" t="s">
        <v>39</v>
      </c>
      <c r="D154" s="28">
        <v>40008671</v>
      </c>
      <c r="E154" s="29" t="s">
        <v>1952</v>
      </c>
      <c r="F154" s="29" t="s">
        <v>54</v>
      </c>
      <c r="G154" s="30" t="s">
        <v>1761</v>
      </c>
      <c r="H154" s="29" t="s">
        <v>1816</v>
      </c>
      <c r="I154" s="29" t="s">
        <v>1763</v>
      </c>
      <c r="J154" s="29">
        <v>4772</v>
      </c>
      <c r="K154" s="29"/>
      <c r="L154" s="29"/>
      <c r="M154" s="31">
        <v>2391.9</v>
      </c>
      <c r="N154" s="31">
        <v>0</v>
      </c>
      <c r="O154" s="31">
        <v>0</v>
      </c>
      <c r="P154" s="31"/>
      <c r="Q154" s="31"/>
      <c r="R154" s="31"/>
      <c r="S154" s="31"/>
      <c r="T154" s="31"/>
      <c r="U154" s="31"/>
      <c r="V154" s="31"/>
      <c r="W154" s="31"/>
      <c r="X154" s="31"/>
      <c r="Y154" s="31">
        <f t="shared" si="10"/>
        <v>2391.9</v>
      </c>
      <c r="Z154" s="29">
        <v>2392</v>
      </c>
      <c r="AA154" s="29">
        <v>4</v>
      </c>
      <c r="AB154" s="408">
        <v>44221</v>
      </c>
      <c r="AC154" s="408">
        <v>44280</v>
      </c>
      <c r="AD154" s="29"/>
      <c r="AE154" s="29"/>
      <c r="AF154" s="408"/>
      <c r="AG154" s="29"/>
      <c r="AH154" s="29"/>
      <c r="AI154" s="29"/>
      <c r="AJ154" s="408"/>
      <c r="AK154" s="29"/>
      <c r="AL154" s="29"/>
      <c r="AM154" s="29"/>
      <c r="AN154" s="408"/>
      <c r="AO154" s="89"/>
      <c r="AP154" s="29"/>
      <c r="AQ154" s="29"/>
      <c r="AR154" s="408"/>
      <c r="AS154" s="89"/>
      <c r="AT154" s="37">
        <f t="shared" si="8"/>
        <v>2392</v>
      </c>
      <c r="AU154" s="38">
        <f t="shared" si="9"/>
        <v>9.9999999999909051E-2</v>
      </c>
    </row>
    <row r="155" spans="2:47" s="26" customFormat="1" ht="22.5" x14ac:dyDescent="0.25">
      <c r="B155" s="27">
        <f t="shared" si="7"/>
        <v>140</v>
      </c>
      <c r="C155" s="27" t="s">
        <v>39</v>
      </c>
      <c r="D155" s="28">
        <v>40008690</v>
      </c>
      <c r="E155" s="29" t="s">
        <v>1953</v>
      </c>
      <c r="F155" s="29" t="s">
        <v>54</v>
      </c>
      <c r="G155" s="30" t="s">
        <v>1761</v>
      </c>
      <c r="H155" s="29" t="s">
        <v>1814</v>
      </c>
      <c r="I155" s="29" t="s">
        <v>1763</v>
      </c>
      <c r="J155" s="29">
        <v>192712</v>
      </c>
      <c r="K155" s="29"/>
      <c r="L155" s="29"/>
      <c r="M155" s="31">
        <v>0</v>
      </c>
      <c r="N155" s="31">
        <v>0</v>
      </c>
      <c r="O155" s="31">
        <v>0</v>
      </c>
      <c r="P155" s="31"/>
      <c r="Q155" s="31"/>
      <c r="R155" s="31"/>
      <c r="S155" s="31"/>
      <c r="T155" s="31"/>
      <c r="U155" s="31"/>
      <c r="V155" s="31"/>
      <c r="W155" s="31"/>
      <c r="X155" s="31"/>
      <c r="Y155" s="31">
        <f t="shared" si="10"/>
        <v>0</v>
      </c>
      <c r="Z155" s="29">
        <v>1000</v>
      </c>
      <c r="AA155" s="29">
        <v>1</v>
      </c>
      <c r="AB155" s="408">
        <v>44207</v>
      </c>
      <c r="AC155" s="408">
        <v>44249</v>
      </c>
      <c r="AD155" s="29"/>
      <c r="AE155" s="29"/>
      <c r="AF155" s="408"/>
      <c r="AG155" s="29"/>
      <c r="AH155" s="29"/>
      <c r="AI155" s="29"/>
      <c r="AJ155" s="408"/>
      <c r="AK155" s="29"/>
      <c r="AL155" s="29"/>
      <c r="AM155" s="29"/>
      <c r="AN155" s="408"/>
      <c r="AO155" s="89"/>
      <c r="AP155" s="29"/>
      <c r="AQ155" s="29"/>
      <c r="AR155" s="408"/>
      <c r="AS155" s="89"/>
      <c r="AT155" s="37">
        <f t="shared" si="8"/>
        <v>1000</v>
      </c>
      <c r="AU155" s="38">
        <f t="shared" si="9"/>
        <v>1000</v>
      </c>
    </row>
    <row r="156" spans="2:47" s="26" customFormat="1" ht="33.75" x14ac:dyDescent="0.25">
      <c r="B156" s="27">
        <f t="shared" si="7"/>
        <v>141</v>
      </c>
      <c r="C156" s="27" t="s">
        <v>39</v>
      </c>
      <c r="D156" s="28">
        <v>40008696</v>
      </c>
      <c r="E156" s="29" t="s">
        <v>1954</v>
      </c>
      <c r="F156" s="29" t="s">
        <v>54</v>
      </c>
      <c r="G156" s="30" t="s">
        <v>1761</v>
      </c>
      <c r="H156" s="29" t="s">
        <v>1787</v>
      </c>
      <c r="I156" s="29" t="s">
        <v>1763</v>
      </c>
      <c r="J156" s="29">
        <v>587535</v>
      </c>
      <c r="K156" s="29"/>
      <c r="L156" s="29"/>
      <c r="M156" s="31">
        <v>0</v>
      </c>
      <c r="N156" s="31">
        <v>0</v>
      </c>
      <c r="O156" s="31">
        <v>0</v>
      </c>
      <c r="P156" s="31"/>
      <c r="Q156" s="31"/>
      <c r="R156" s="31"/>
      <c r="S156" s="31"/>
      <c r="T156" s="31"/>
      <c r="U156" s="31"/>
      <c r="V156" s="31"/>
      <c r="W156" s="31"/>
      <c r="X156" s="31"/>
      <c r="Y156" s="31">
        <f t="shared" si="10"/>
        <v>0</v>
      </c>
      <c r="Z156" s="29">
        <v>1000</v>
      </c>
      <c r="AA156" s="29">
        <v>1</v>
      </c>
      <c r="AB156" s="408">
        <v>44207</v>
      </c>
      <c r="AC156" s="408">
        <v>44249</v>
      </c>
      <c r="AD156" s="29"/>
      <c r="AE156" s="29"/>
      <c r="AF156" s="408"/>
      <c r="AG156" s="29"/>
      <c r="AH156" s="29"/>
      <c r="AI156" s="29"/>
      <c r="AJ156" s="408"/>
      <c r="AK156" s="29"/>
      <c r="AL156" s="29"/>
      <c r="AM156" s="29"/>
      <c r="AN156" s="408"/>
      <c r="AO156" s="89"/>
      <c r="AP156" s="29"/>
      <c r="AQ156" s="29"/>
      <c r="AR156" s="408"/>
      <c r="AS156" s="89"/>
      <c r="AT156" s="37">
        <f t="shared" si="8"/>
        <v>1000</v>
      </c>
      <c r="AU156" s="38">
        <f t="shared" si="9"/>
        <v>1000</v>
      </c>
    </row>
    <row r="157" spans="2:47" s="26" customFormat="1" ht="33.75" x14ac:dyDescent="0.25">
      <c r="B157" s="27">
        <f t="shared" si="7"/>
        <v>142</v>
      </c>
      <c r="C157" s="27" t="s">
        <v>39</v>
      </c>
      <c r="D157" s="28">
        <v>40008699</v>
      </c>
      <c r="E157" s="29" t="s">
        <v>1955</v>
      </c>
      <c r="F157" s="29" t="s">
        <v>54</v>
      </c>
      <c r="G157" s="30" t="s">
        <v>1761</v>
      </c>
      <c r="H157" s="29" t="s">
        <v>1814</v>
      </c>
      <c r="I157" s="29" t="s">
        <v>1763</v>
      </c>
      <c r="J157" s="29">
        <v>370725</v>
      </c>
      <c r="K157" s="29"/>
      <c r="L157" s="29"/>
      <c r="M157" s="31">
        <v>0</v>
      </c>
      <c r="N157" s="31">
        <v>0</v>
      </c>
      <c r="O157" s="31">
        <v>0</v>
      </c>
      <c r="P157" s="31"/>
      <c r="Q157" s="31"/>
      <c r="R157" s="31"/>
      <c r="S157" s="31"/>
      <c r="T157" s="31"/>
      <c r="U157" s="31"/>
      <c r="V157" s="31"/>
      <c r="W157" s="31"/>
      <c r="X157" s="31"/>
      <c r="Y157" s="31">
        <f t="shared" si="10"/>
        <v>0</v>
      </c>
      <c r="Z157" s="29">
        <v>1000</v>
      </c>
      <c r="AA157" s="29">
        <v>1</v>
      </c>
      <c r="AB157" s="408">
        <v>44207</v>
      </c>
      <c r="AC157" s="408">
        <v>44249</v>
      </c>
      <c r="AD157" s="29"/>
      <c r="AE157" s="29"/>
      <c r="AF157" s="408"/>
      <c r="AG157" s="29"/>
      <c r="AH157" s="29"/>
      <c r="AI157" s="29"/>
      <c r="AJ157" s="408"/>
      <c r="AK157" s="29"/>
      <c r="AL157" s="29"/>
      <c r="AM157" s="29"/>
      <c r="AN157" s="408"/>
      <c r="AO157" s="89"/>
      <c r="AP157" s="29"/>
      <c r="AQ157" s="29"/>
      <c r="AR157" s="408"/>
      <c r="AS157" s="89"/>
      <c r="AT157" s="37">
        <f t="shared" si="8"/>
        <v>1000</v>
      </c>
      <c r="AU157" s="38">
        <f t="shared" si="9"/>
        <v>1000</v>
      </c>
    </row>
    <row r="158" spans="2:47" s="26" customFormat="1" ht="22.5" x14ac:dyDescent="0.25">
      <c r="B158" s="27">
        <f t="shared" si="7"/>
        <v>143</v>
      </c>
      <c r="C158" s="27" t="s">
        <v>39</v>
      </c>
      <c r="D158" s="28">
        <v>40008728</v>
      </c>
      <c r="E158" s="29" t="s">
        <v>1956</v>
      </c>
      <c r="F158" s="29" t="s">
        <v>54</v>
      </c>
      <c r="G158" s="30" t="s">
        <v>1761</v>
      </c>
      <c r="H158" s="29" t="s">
        <v>1804</v>
      </c>
      <c r="I158" s="29" t="s">
        <v>1763</v>
      </c>
      <c r="J158" s="29">
        <v>1023963</v>
      </c>
      <c r="K158" s="29"/>
      <c r="L158" s="29"/>
      <c r="M158" s="31">
        <v>0</v>
      </c>
      <c r="N158" s="31">
        <v>0</v>
      </c>
      <c r="O158" s="31">
        <v>0</v>
      </c>
      <c r="P158" s="31"/>
      <c r="Q158" s="31"/>
      <c r="R158" s="31"/>
      <c r="S158" s="31"/>
      <c r="T158" s="31"/>
      <c r="U158" s="31"/>
      <c r="V158" s="31"/>
      <c r="W158" s="31"/>
      <c r="X158" s="31"/>
      <c r="Y158" s="31">
        <f t="shared" si="10"/>
        <v>0</v>
      </c>
      <c r="Z158" s="29">
        <v>1000</v>
      </c>
      <c r="AA158" s="29">
        <v>1</v>
      </c>
      <c r="AB158" s="408">
        <v>44207</v>
      </c>
      <c r="AC158" s="408">
        <v>44249</v>
      </c>
      <c r="AD158" s="29">
        <v>700000</v>
      </c>
      <c r="AE158" s="29">
        <v>4</v>
      </c>
      <c r="AF158" s="408">
        <v>44221</v>
      </c>
      <c r="AG158" s="408">
        <v>44280</v>
      </c>
      <c r="AH158" s="29"/>
      <c r="AI158" s="29"/>
      <c r="AJ158" s="408"/>
      <c r="AK158" s="29"/>
      <c r="AL158" s="29"/>
      <c r="AM158" s="29"/>
      <c r="AN158" s="408"/>
      <c r="AO158" s="89"/>
      <c r="AP158" s="29"/>
      <c r="AQ158" s="29"/>
      <c r="AR158" s="408"/>
      <c r="AS158" s="89"/>
      <c r="AT158" s="37">
        <f t="shared" si="8"/>
        <v>701000</v>
      </c>
      <c r="AU158" s="38">
        <f t="shared" si="9"/>
        <v>701000</v>
      </c>
    </row>
    <row r="159" spans="2:47" s="26" customFormat="1" ht="22.5" x14ac:dyDescent="0.25">
      <c r="B159" s="27">
        <f t="shared" si="7"/>
        <v>144</v>
      </c>
      <c r="C159" s="27" t="s">
        <v>39</v>
      </c>
      <c r="D159" s="28">
        <v>40008730</v>
      </c>
      <c r="E159" s="29" t="s">
        <v>1957</v>
      </c>
      <c r="F159" s="29" t="s">
        <v>54</v>
      </c>
      <c r="G159" s="30" t="s">
        <v>1761</v>
      </c>
      <c r="H159" s="29" t="s">
        <v>1800</v>
      </c>
      <c r="I159" s="29" t="s">
        <v>1763</v>
      </c>
      <c r="J159" s="29">
        <v>412453</v>
      </c>
      <c r="K159" s="29"/>
      <c r="L159" s="29"/>
      <c r="M159" s="31">
        <v>0</v>
      </c>
      <c r="N159" s="31">
        <v>0</v>
      </c>
      <c r="O159" s="31">
        <v>0</v>
      </c>
      <c r="P159" s="31"/>
      <c r="Q159" s="31"/>
      <c r="R159" s="31"/>
      <c r="S159" s="31"/>
      <c r="T159" s="31"/>
      <c r="U159" s="31"/>
      <c r="V159" s="31"/>
      <c r="W159" s="31"/>
      <c r="X159" s="31"/>
      <c r="Y159" s="31">
        <f t="shared" si="10"/>
        <v>0</v>
      </c>
      <c r="Z159" s="29">
        <v>1000</v>
      </c>
      <c r="AA159" s="29">
        <v>1</v>
      </c>
      <c r="AB159" s="408">
        <v>44207</v>
      </c>
      <c r="AC159" s="408">
        <v>44249</v>
      </c>
      <c r="AD159" s="29"/>
      <c r="AE159" s="29"/>
      <c r="AF159" s="408"/>
      <c r="AG159" s="29"/>
      <c r="AH159" s="29"/>
      <c r="AI159" s="29"/>
      <c r="AJ159" s="408"/>
      <c r="AK159" s="29"/>
      <c r="AL159" s="29"/>
      <c r="AM159" s="29"/>
      <c r="AN159" s="408"/>
      <c r="AO159" s="89"/>
      <c r="AP159" s="29"/>
      <c r="AQ159" s="29"/>
      <c r="AR159" s="408"/>
      <c r="AS159" s="89"/>
      <c r="AT159" s="37">
        <f t="shared" si="8"/>
        <v>1000</v>
      </c>
      <c r="AU159" s="38">
        <f t="shared" si="9"/>
        <v>1000</v>
      </c>
    </row>
    <row r="160" spans="2:47" s="26" customFormat="1" ht="22.5" x14ac:dyDescent="0.25">
      <c r="B160" s="27">
        <f t="shared" si="7"/>
        <v>145</v>
      </c>
      <c r="C160" s="27" t="s">
        <v>39</v>
      </c>
      <c r="D160" s="28">
        <v>40008736</v>
      </c>
      <c r="E160" s="29" t="s">
        <v>1958</v>
      </c>
      <c r="F160" s="29" t="s">
        <v>54</v>
      </c>
      <c r="G160" s="30" t="s">
        <v>1761</v>
      </c>
      <c r="H160" s="29" t="s">
        <v>1855</v>
      </c>
      <c r="I160" s="29" t="s">
        <v>1763</v>
      </c>
      <c r="J160" s="29">
        <v>417445</v>
      </c>
      <c r="K160" s="29"/>
      <c r="L160" s="29"/>
      <c r="M160" s="31">
        <v>0</v>
      </c>
      <c r="N160" s="31">
        <v>0</v>
      </c>
      <c r="O160" s="31">
        <v>0</v>
      </c>
      <c r="P160" s="31"/>
      <c r="Q160" s="31"/>
      <c r="R160" s="31"/>
      <c r="S160" s="31"/>
      <c r="T160" s="31"/>
      <c r="U160" s="31"/>
      <c r="V160" s="31"/>
      <c r="W160" s="31"/>
      <c r="X160" s="31"/>
      <c r="Y160" s="31">
        <f t="shared" si="10"/>
        <v>0</v>
      </c>
      <c r="Z160" s="29">
        <v>1000</v>
      </c>
      <c r="AA160" s="29">
        <v>1</v>
      </c>
      <c r="AB160" s="408">
        <v>44207</v>
      </c>
      <c r="AC160" s="408">
        <v>44249</v>
      </c>
      <c r="AD160" s="29">
        <v>280000</v>
      </c>
      <c r="AE160" s="29">
        <v>4</v>
      </c>
      <c r="AF160" s="408">
        <v>44221</v>
      </c>
      <c r="AG160" s="408">
        <v>44280</v>
      </c>
      <c r="AH160" s="29"/>
      <c r="AI160" s="29"/>
      <c r="AJ160" s="408"/>
      <c r="AK160" s="29"/>
      <c r="AL160" s="29"/>
      <c r="AM160" s="29"/>
      <c r="AN160" s="408"/>
      <c r="AO160" s="89"/>
      <c r="AP160" s="29"/>
      <c r="AQ160" s="29"/>
      <c r="AR160" s="408"/>
      <c r="AS160" s="89"/>
      <c r="AT160" s="37">
        <f t="shared" si="8"/>
        <v>281000</v>
      </c>
      <c r="AU160" s="38">
        <f t="shared" si="9"/>
        <v>281000</v>
      </c>
    </row>
    <row r="161" spans="2:47" s="26" customFormat="1" ht="22.5" x14ac:dyDescent="0.25">
      <c r="B161" s="27">
        <f t="shared" si="7"/>
        <v>146</v>
      </c>
      <c r="C161" s="27" t="s">
        <v>39</v>
      </c>
      <c r="D161" s="28">
        <v>40008744</v>
      </c>
      <c r="E161" s="29" t="s">
        <v>1959</v>
      </c>
      <c r="F161" s="29" t="s">
        <v>54</v>
      </c>
      <c r="G161" s="30" t="s">
        <v>1761</v>
      </c>
      <c r="H161" s="29" t="s">
        <v>1921</v>
      </c>
      <c r="I161" s="29" t="s">
        <v>1763</v>
      </c>
      <c r="J161" s="29">
        <v>231630</v>
      </c>
      <c r="K161" s="29"/>
      <c r="L161" s="29"/>
      <c r="M161" s="31">
        <v>0</v>
      </c>
      <c r="N161" s="31">
        <v>0</v>
      </c>
      <c r="O161" s="31">
        <v>0</v>
      </c>
      <c r="P161" s="31"/>
      <c r="Q161" s="31"/>
      <c r="R161" s="31"/>
      <c r="S161" s="31"/>
      <c r="T161" s="31"/>
      <c r="U161" s="31"/>
      <c r="V161" s="31"/>
      <c r="W161" s="31"/>
      <c r="X161" s="31"/>
      <c r="Y161" s="31">
        <f t="shared" si="10"/>
        <v>0</v>
      </c>
      <c r="Z161" s="29">
        <v>1000</v>
      </c>
      <c r="AA161" s="29">
        <v>1</v>
      </c>
      <c r="AB161" s="408">
        <v>44207</v>
      </c>
      <c r="AC161" s="408">
        <v>44249</v>
      </c>
      <c r="AD161" s="29"/>
      <c r="AE161" s="29"/>
      <c r="AF161" s="408"/>
      <c r="AG161" s="29"/>
      <c r="AH161" s="29"/>
      <c r="AI161" s="29"/>
      <c r="AJ161" s="408"/>
      <c r="AK161" s="29"/>
      <c r="AL161" s="29"/>
      <c r="AM161" s="29"/>
      <c r="AN161" s="408"/>
      <c r="AO161" s="89"/>
      <c r="AP161" s="29"/>
      <c r="AQ161" s="29"/>
      <c r="AR161" s="408"/>
      <c r="AS161" s="89"/>
      <c r="AT161" s="37">
        <f t="shared" si="8"/>
        <v>1000</v>
      </c>
      <c r="AU161" s="38">
        <f t="shared" si="9"/>
        <v>1000</v>
      </c>
    </row>
    <row r="162" spans="2:47" s="26" customFormat="1" ht="22.5" x14ac:dyDescent="0.25">
      <c r="B162" s="27">
        <f t="shared" si="7"/>
        <v>147</v>
      </c>
      <c r="C162" s="27" t="s">
        <v>39</v>
      </c>
      <c r="D162" s="28">
        <v>40008751</v>
      </c>
      <c r="E162" s="29" t="s">
        <v>1960</v>
      </c>
      <c r="F162" s="29" t="s">
        <v>54</v>
      </c>
      <c r="G162" s="30" t="s">
        <v>1761</v>
      </c>
      <c r="H162" s="29" t="s">
        <v>1806</v>
      </c>
      <c r="I162" s="29" t="s">
        <v>1763</v>
      </c>
      <c r="J162" s="29">
        <v>113481</v>
      </c>
      <c r="K162" s="29"/>
      <c r="L162" s="29"/>
      <c r="M162" s="31">
        <v>0</v>
      </c>
      <c r="N162" s="31">
        <v>0</v>
      </c>
      <c r="O162" s="31">
        <v>0</v>
      </c>
      <c r="P162" s="31"/>
      <c r="Q162" s="31"/>
      <c r="R162" s="31"/>
      <c r="S162" s="31"/>
      <c r="T162" s="31"/>
      <c r="U162" s="31"/>
      <c r="V162" s="31"/>
      <c r="W162" s="31"/>
      <c r="X162" s="31"/>
      <c r="Y162" s="31">
        <f t="shared" si="10"/>
        <v>0</v>
      </c>
      <c r="Z162" s="29">
        <v>1000</v>
      </c>
      <c r="AA162" s="29">
        <v>1</v>
      </c>
      <c r="AB162" s="408">
        <v>44207</v>
      </c>
      <c r="AC162" s="408">
        <v>44249</v>
      </c>
      <c r="AD162" s="29"/>
      <c r="AE162" s="29"/>
      <c r="AF162" s="408"/>
      <c r="AG162" s="29"/>
      <c r="AH162" s="29"/>
      <c r="AI162" s="29"/>
      <c r="AJ162" s="408"/>
      <c r="AK162" s="29"/>
      <c r="AL162" s="29"/>
      <c r="AM162" s="29"/>
      <c r="AN162" s="408"/>
      <c r="AO162" s="89"/>
      <c r="AP162" s="29"/>
      <c r="AQ162" s="29"/>
      <c r="AR162" s="408"/>
      <c r="AS162" s="89"/>
      <c r="AT162" s="37">
        <f t="shared" si="8"/>
        <v>1000</v>
      </c>
      <c r="AU162" s="38">
        <f t="shared" si="9"/>
        <v>1000</v>
      </c>
    </row>
    <row r="163" spans="2:47" s="26" customFormat="1" ht="33.75" x14ac:dyDescent="0.25">
      <c r="B163" s="27">
        <f t="shared" si="7"/>
        <v>148</v>
      </c>
      <c r="C163" s="27" t="s">
        <v>39</v>
      </c>
      <c r="D163" s="28">
        <v>40008770</v>
      </c>
      <c r="E163" s="29" t="s">
        <v>1961</v>
      </c>
      <c r="F163" s="29" t="s">
        <v>60</v>
      </c>
      <c r="G163" s="30" t="s">
        <v>1761</v>
      </c>
      <c r="H163" s="29" t="s">
        <v>1858</v>
      </c>
      <c r="I163" s="29" t="s">
        <v>1763</v>
      </c>
      <c r="J163" s="29">
        <v>57832</v>
      </c>
      <c r="K163" s="29"/>
      <c r="L163" s="29"/>
      <c r="M163" s="31">
        <v>0</v>
      </c>
      <c r="N163" s="31">
        <v>0</v>
      </c>
      <c r="O163" s="31">
        <v>0</v>
      </c>
      <c r="P163" s="31"/>
      <c r="Q163" s="31"/>
      <c r="R163" s="31"/>
      <c r="S163" s="31"/>
      <c r="T163" s="31"/>
      <c r="U163" s="31"/>
      <c r="V163" s="31"/>
      <c r="W163" s="31"/>
      <c r="X163" s="31"/>
      <c r="Y163" s="31">
        <f t="shared" si="10"/>
        <v>0</v>
      </c>
      <c r="Z163" s="29">
        <v>1000</v>
      </c>
      <c r="AA163" s="29">
        <v>1</v>
      </c>
      <c r="AB163" s="408">
        <v>44207</v>
      </c>
      <c r="AC163" s="408">
        <v>44249</v>
      </c>
      <c r="AD163" s="29"/>
      <c r="AE163" s="29"/>
      <c r="AF163" s="408"/>
      <c r="AG163" s="29"/>
      <c r="AH163" s="29"/>
      <c r="AI163" s="29"/>
      <c r="AJ163" s="408"/>
      <c r="AK163" s="29"/>
      <c r="AL163" s="29"/>
      <c r="AM163" s="29"/>
      <c r="AN163" s="408"/>
      <c r="AO163" s="89"/>
      <c r="AP163" s="29"/>
      <c r="AQ163" s="29"/>
      <c r="AR163" s="408"/>
      <c r="AS163" s="89"/>
      <c r="AT163" s="37">
        <f t="shared" si="8"/>
        <v>1000</v>
      </c>
      <c r="AU163" s="38">
        <f t="shared" si="9"/>
        <v>1000</v>
      </c>
    </row>
    <row r="164" spans="2:47" s="26" customFormat="1" ht="33.75" x14ac:dyDescent="0.25">
      <c r="B164" s="27">
        <f t="shared" si="7"/>
        <v>149</v>
      </c>
      <c r="C164" s="27" t="s">
        <v>39</v>
      </c>
      <c r="D164" s="28">
        <v>40008771</v>
      </c>
      <c r="E164" s="29" t="s">
        <v>1962</v>
      </c>
      <c r="F164" s="29" t="s">
        <v>366</v>
      </c>
      <c r="G164" s="30" t="s">
        <v>1761</v>
      </c>
      <c r="H164" s="29" t="s">
        <v>1858</v>
      </c>
      <c r="I164" s="29" t="s">
        <v>1763</v>
      </c>
      <c r="J164" s="29">
        <v>21594</v>
      </c>
      <c r="K164" s="29"/>
      <c r="L164" s="29"/>
      <c r="M164" s="31">
        <v>0</v>
      </c>
      <c r="N164" s="31">
        <v>0</v>
      </c>
      <c r="O164" s="31">
        <v>0</v>
      </c>
      <c r="P164" s="31"/>
      <c r="Q164" s="31"/>
      <c r="R164" s="31"/>
      <c r="S164" s="31"/>
      <c r="T164" s="31"/>
      <c r="U164" s="31"/>
      <c r="V164" s="31"/>
      <c r="W164" s="31"/>
      <c r="X164" s="31"/>
      <c r="Y164" s="31">
        <f t="shared" si="10"/>
        <v>0</v>
      </c>
      <c r="Z164" s="29">
        <v>1000</v>
      </c>
      <c r="AA164" s="29">
        <v>1</v>
      </c>
      <c r="AB164" s="408">
        <v>44207</v>
      </c>
      <c r="AC164" s="408">
        <v>44249</v>
      </c>
      <c r="AD164" s="29"/>
      <c r="AE164" s="29"/>
      <c r="AF164" s="408"/>
      <c r="AG164" s="29"/>
      <c r="AH164" s="29"/>
      <c r="AI164" s="29"/>
      <c r="AJ164" s="408"/>
      <c r="AK164" s="29"/>
      <c r="AL164" s="29"/>
      <c r="AM164" s="29"/>
      <c r="AN164" s="408"/>
      <c r="AO164" s="89"/>
      <c r="AP164" s="29"/>
      <c r="AQ164" s="29"/>
      <c r="AR164" s="408"/>
      <c r="AS164" s="89"/>
      <c r="AT164" s="37">
        <f t="shared" si="8"/>
        <v>1000</v>
      </c>
      <c r="AU164" s="38">
        <f t="shared" si="9"/>
        <v>1000</v>
      </c>
    </row>
    <row r="165" spans="2:47" s="26" customFormat="1" ht="33.75" x14ac:dyDescent="0.25">
      <c r="B165" s="27">
        <f t="shared" si="7"/>
        <v>150</v>
      </c>
      <c r="C165" s="27" t="s">
        <v>39</v>
      </c>
      <c r="D165" s="28">
        <v>40008772</v>
      </c>
      <c r="E165" s="29" t="s">
        <v>1963</v>
      </c>
      <c r="F165" s="29" t="s">
        <v>60</v>
      </c>
      <c r="G165" s="30" t="s">
        <v>1761</v>
      </c>
      <c r="H165" s="29" t="s">
        <v>1858</v>
      </c>
      <c r="I165" s="29" t="s">
        <v>1763</v>
      </c>
      <c r="J165" s="29">
        <v>131368</v>
      </c>
      <c r="K165" s="29"/>
      <c r="L165" s="29"/>
      <c r="M165" s="31">
        <v>0</v>
      </c>
      <c r="N165" s="31">
        <v>0</v>
      </c>
      <c r="O165" s="31">
        <v>0</v>
      </c>
      <c r="P165" s="31"/>
      <c r="Q165" s="31"/>
      <c r="R165" s="31"/>
      <c r="S165" s="31"/>
      <c r="T165" s="31"/>
      <c r="U165" s="31"/>
      <c r="V165" s="31"/>
      <c r="W165" s="31"/>
      <c r="X165" s="31"/>
      <c r="Y165" s="31">
        <f t="shared" si="10"/>
        <v>0</v>
      </c>
      <c r="Z165" s="29">
        <v>1000</v>
      </c>
      <c r="AA165" s="29">
        <v>1</v>
      </c>
      <c r="AB165" s="408">
        <v>44207</v>
      </c>
      <c r="AC165" s="408">
        <v>44249</v>
      </c>
      <c r="AD165" s="29"/>
      <c r="AE165" s="29"/>
      <c r="AF165" s="408"/>
      <c r="AG165" s="29"/>
      <c r="AH165" s="29"/>
      <c r="AI165" s="29"/>
      <c r="AJ165" s="408"/>
      <c r="AK165" s="29"/>
      <c r="AL165" s="29"/>
      <c r="AM165" s="29"/>
      <c r="AN165" s="408"/>
      <c r="AO165" s="89"/>
      <c r="AP165" s="29"/>
      <c r="AQ165" s="29"/>
      <c r="AR165" s="408"/>
      <c r="AS165" s="89"/>
      <c r="AT165" s="37">
        <f t="shared" si="8"/>
        <v>1000</v>
      </c>
      <c r="AU165" s="38">
        <f t="shared" si="9"/>
        <v>1000</v>
      </c>
    </row>
    <row r="166" spans="2:47" s="26" customFormat="1" ht="22.5" x14ac:dyDescent="0.25">
      <c r="B166" s="27">
        <f t="shared" si="7"/>
        <v>151</v>
      </c>
      <c r="C166" s="27" t="s">
        <v>39</v>
      </c>
      <c r="D166" s="28">
        <v>40008773</v>
      </c>
      <c r="E166" s="29" t="s">
        <v>1964</v>
      </c>
      <c r="F166" s="29" t="s">
        <v>54</v>
      </c>
      <c r="G166" s="30" t="s">
        <v>1761</v>
      </c>
      <c r="H166" s="29" t="s">
        <v>1858</v>
      </c>
      <c r="I166" s="29" t="s">
        <v>1763</v>
      </c>
      <c r="J166" s="29">
        <v>20341</v>
      </c>
      <c r="K166" s="29"/>
      <c r="L166" s="29"/>
      <c r="M166" s="31">
        <v>0</v>
      </c>
      <c r="N166" s="31">
        <v>0</v>
      </c>
      <c r="O166" s="31">
        <v>0</v>
      </c>
      <c r="P166" s="31"/>
      <c r="Q166" s="31"/>
      <c r="R166" s="31"/>
      <c r="S166" s="31"/>
      <c r="T166" s="31"/>
      <c r="U166" s="31"/>
      <c r="V166" s="31"/>
      <c r="W166" s="31"/>
      <c r="X166" s="31"/>
      <c r="Y166" s="31">
        <f t="shared" si="10"/>
        <v>0</v>
      </c>
      <c r="Z166" s="29">
        <v>1000</v>
      </c>
      <c r="AA166" s="29">
        <v>1</v>
      </c>
      <c r="AB166" s="408">
        <v>44207</v>
      </c>
      <c r="AC166" s="408">
        <v>44249</v>
      </c>
      <c r="AD166" s="29"/>
      <c r="AE166" s="29"/>
      <c r="AF166" s="408"/>
      <c r="AG166" s="29"/>
      <c r="AH166" s="29"/>
      <c r="AI166" s="29"/>
      <c r="AJ166" s="408"/>
      <c r="AK166" s="29"/>
      <c r="AL166" s="29"/>
      <c r="AM166" s="29"/>
      <c r="AN166" s="408"/>
      <c r="AO166" s="89"/>
      <c r="AP166" s="29"/>
      <c r="AQ166" s="29"/>
      <c r="AR166" s="408"/>
      <c r="AS166" s="89"/>
      <c r="AT166" s="37">
        <f t="shared" si="8"/>
        <v>1000</v>
      </c>
      <c r="AU166" s="38">
        <f t="shared" si="9"/>
        <v>1000</v>
      </c>
    </row>
    <row r="167" spans="2:47" s="26" customFormat="1" ht="45" x14ac:dyDescent="0.25">
      <c r="B167" s="27">
        <f t="shared" si="7"/>
        <v>152</v>
      </c>
      <c r="C167" s="27" t="s">
        <v>39</v>
      </c>
      <c r="D167" s="28">
        <v>40008808</v>
      </c>
      <c r="E167" s="29" t="s">
        <v>1965</v>
      </c>
      <c r="F167" s="29" t="s">
        <v>54</v>
      </c>
      <c r="G167" s="30" t="s">
        <v>1761</v>
      </c>
      <c r="H167" s="29" t="s">
        <v>1771</v>
      </c>
      <c r="I167" s="29" t="s">
        <v>1763</v>
      </c>
      <c r="J167" s="29">
        <v>219984</v>
      </c>
      <c r="K167" s="29"/>
      <c r="L167" s="29"/>
      <c r="M167" s="31">
        <v>0</v>
      </c>
      <c r="N167" s="31">
        <v>0</v>
      </c>
      <c r="O167" s="31">
        <v>0</v>
      </c>
      <c r="P167" s="31"/>
      <c r="Q167" s="31"/>
      <c r="R167" s="31"/>
      <c r="S167" s="31"/>
      <c r="T167" s="31"/>
      <c r="U167" s="31"/>
      <c r="V167" s="31"/>
      <c r="W167" s="31"/>
      <c r="X167" s="31"/>
      <c r="Y167" s="31">
        <f t="shared" si="10"/>
        <v>0</v>
      </c>
      <c r="Z167" s="29">
        <v>1000</v>
      </c>
      <c r="AA167" s="29">
        <v>1</v>
      </c>
      <c r="AB167" s="408">
        <v>44207</v>
      </c>
      <c r="AC167" s="408">
        <v>44249</v>
      </c>
      <c r="AD167" s="29"/>
      <c r="AE167" s="29"/>
      <c r="AF167" s="408"/>
      <c r="AG167" s="29"/>
      <c r="AH167" s="29"/>
      <c r="AI167" s="29"/>
      <c r="AJ167" s="408"/>
      <c r="AK167" s="29"/>
      <c r="AL167" s="29"/>
      <c r="AM167" s="29"/>
      <c r="AN167" s="408"/>
      <c r="AO167" s="89"/>
      <c r="AP167" s="29"/>
      <c r="AQ167" s="29"/>
      <c r="AR167" s="408"/>
      <c r="AS167" s="89"/>
      <c r="AT167" s="37">
        <f t="shared" si="8"/>
        <v>1000</v>
      </c>
      <c r="AU167" s="38">
        <f t="shared" si="9"/>
        <v>1000</v>
      </c>
    </row>
    <row r="168" spans="2:47" s="26" customFormat="1" ht="22.5" x14ac:dyDescent="0.25">
      <c r="B168" s="27">
        <f t="shared" si="7"/>
        <v>153</v>
      </c>
      <c r="C168" s="27" t="s">
        <v>39</v>
      </c>
      <c r="D168" s="28">
        <v>40008866</v>
      </c>
      <c r="E168" s="29" t="s">
        <v>1966</v>
      </c>
      <c r="F168" s="29" t="s">
        <v>60</v>
      </c>
      <c r="G168" s="30" t="s">
        <v>1761</v>
      </c>
      <c r="H168" s="29" t="s">
        <v>1861</v>
      </c>
      <c r="I168" s="29" t="s">
        <v>1763</v>
      </c>
      <c r="J168" s="29">
        <v>3328</v>
      </c>
      <c r="K168" s="29"/>
      <c r="L168" s="29"/>
      <c r="M168" s="31">
        <v>0</v>
      </c>
      <c r="N168" s="31">
        <v>0</v>
      </c>
      <c r="O168" s="31">
        <v>0</v>
      </c>
      <c r="P168" s="31"/>
      <c r="Q168" s="31"/>
      <c r="R168" s="31"/>
      <c r="S168" s="31"/>
      <c r="T168" s="31"/>
      <c r="U168" s="31"/>
      <c r="V168" s="31"/>
      <c r="W168" s="31"/>
      <c r="X168" s="31"/>
      <c r="Y168" s="31">
        <f t="shared" si="10"/>
        <v>0</v>
      </c>
      <c r="Z168" s="29">
        <v>1000</v>
      </c>
      <c r="AA168" s="29">
        <v>1</v>
      </c>
      <c r="AB168" s="408">
        <v>44207</v>
      </c>
      <c r="AC168" s="408">
        <v>44249</v>
      </c>
      <c r="AD168" s="29"/>
      <c r="AE168" s="29"/>
      <c r="AF168" s="408"/>
      <c r="AG168" s="29"/>
      <c r="AH168" s="29"/>
      <c r="AI168" s="29"/>
      <c r="AJ168" s="408"/>
      <c r="AK168" s="29"/>
      <c r="AL168" s="29"/>
      <c r="AM168" s="29"/>
      <c r="AN168" s="408"/>
      <c r="AO168" s="89"/>
      <c r="AP168" s="29"/>
      <c r="AQ168" s="29"/>
      <c r="AR168" s="408"/>
      <c r="AS168" s="89"/>
      <c r="AT168" s="37">
        <f t="shared" si="8"/>
        <v>1000</v>
      </c>
      <c r="AU168" s="38">
        <f t="shared" si="9"/>
        <v>1000</v>
      </c>
    </row>
    <row r="169" spans="2:47" s="26" customFormat="1" ht="33.75" x14ac:dyDescent="0.25">
      <c r="B169" s="27">
        <f t="shared" si="7"/>
        <v>154</v>
      </c>
      <c r="C169" s="27" t="s">
        <v>39</v>
      </c>
      <c r="D169" s="28">
        <v>40009176</v>
      </c>
      <c r="E169" s="29" t="s">
        <v>1967</v>
      </c>
      <c r="F169" s="29" t="s">
        <v>54</v>
      </c>
      <c r="G169" s="30" t="s">
        <v>1761</v>
      </c>
      <c r="H169" s="29" t="s">
        <v>1819</v>
      </c>
      <c r="I169" s="29" t="s">
        <v>1763</v>
      </c>
      <c r="J169" s="29">
        <v>339283</v>
      </c>
      <c r="K169" s="29"/>
      <c r="L169" s="29"/>
      <c r="M169" s="31">
        <v>0</v>
      </c>
      <c r="N169" s="31">
        <v>0</v>
      </c>
      <c r="O169" s="31">
        <v>0</v>
      </c>
      <c r="P169" s="31"/>
      <c r="Q169" s="31"/>
      <c r="R169" s="31"/>
      <c r="S169" s="31"/>
      <c r="T169" s="31"/>
      <c r="U169" s="31"/>
      <c r="V169" s="31"/>
      <c r="W169" s="31"/>
      <c r="X169" s="31"/>
      <c r="Y169" s="31">
        <f t="shared" si="10"/>
        <v>0</v>
      </c>
      <c r="Z169" s="29">
        <v>1000</v>
      </c>
      <c r="AA169" s="29">
        <v>1</v>
      </c>
      <c r="AB169" s="408">
        <v>44207</v>
      </c>
      <c r="AC169" s="408">
        <v>44249</v>
      </c>
      <c r="AD169" s="29"/>
      <c r="AE169" s="29"/>
      <c r="AF169" s="408"/>
      <c r="AG169" s="29"/>
      <c r="AH169" s="29"/>
      <c r="AI169" s="29"/>
      <c r="AJ169" s="408"/>
      <c r="AK169" s="29"/>
      <c r="AL169" s="29"/>
      <c r="AM169" s="29"/>
      <c r="AN169" s="408"/>
      <c r="AO169" s="89"/>
      <c r="AP169" s="29"/>
      <c r="AQ169" s="29"/>
      <c r="AR169" s="408"/>
      <c r="AS169" s="89"/>
      <c r="AT169" s="37">
        <f t="shared" si="8"/>
        <v>1000</v>
      </c>
      <c r="AU169" s="38">
        <f t="shared" si="9"/>
        <v>1000</v>
      </c>
    </row>
    <row r="170" spans="2:47" s="26" customFormat="1" ht="22.5" x14ac:dyDescent="0.25">
      <c r="B170" s="27">
        <f t="shared" si="7"/>
        <v>155</v>
      </c>
      <c r="C170" s="27" t="s">
        <v>39</v>
      </c>
      <c r="D170" s="28">
        <v>40009221</v>
      </c>
      <c r="E170" s="29" t="s">
        <v>1968</v>
      </c>
      <c r="F170" s="29" t="s">
        <v>54</v>
      </c>
      <c r="G170" s="30" t="s">
        <v>1761</v>
      </c>
      <c r="H170" s="29" t="s">
        <v>1969</v>
      </c>
      <c r="I170" s="29" t="s">
        <v>1763</v>
      </c>
      <c r="J170" s="29">
        <v>1931437</v>
      </c>
      <c r="K170" s="29"/>
      <c r="L170" s="29"/>
      <c r="M170" s="31">
        <v>516560.66399999999</v>
      </c>
      <c r="N170" s="31">
        <v>0</v>
      </c>
      <c r="O170" s="31">
        <v>478876.87599999999</v>
      </c>
      <c r="P170" s="31"/>
      <c r="Q170" s="31"/>
      <c r="R170" s="31"/>
      <c r="S170" s="31"/>
      <c r="T170" s="31"/>
      <c r="U170" s="31"/>
      <c r="V170" s="31"/>
      <c r="W170" s="31"/>
      <c r="X170" s="31"/>
      <c r="Y170" s="31">
        <f t="shared" si="10"/>
        <v>995437.54</v>
      </c>
      <c r="Z170" s="29">
        <v>900000</v>
      </c>
      <c r="AA170" s="29">
        <v>4</v>
      </c>
      <c r="AB170" s="408">
        <v>44221</v>
      </c>
      <c r="AC170" s="408">
        <v>44280</v>
      </c>
      <c r="AD170" s="29"/>
      <c r="AE170" s="29"/>
      <c r="AF170" s="408"/>
      <c r="AG170" s="29"/>
      <c r="AH170" s="29"/>
      <c r="AI170" s="29"/>
      <c r="AJ170" s="408"/>
      <c r="AK170" s="29"/>
      <c r="AL170" s="29"/>
      <c r="AM170" s="29"/>
      <c r="AN170" s="408"/>
      <c r="AO170" s="89"/>
      <c r="AP170" s="29"/>
      <c r="AQ170" s="29"/>
      <c r="AR170" s="408"/>
      <c r="AS170" s="89"/>
      <c r="AT170" s="37">
        <f t="shared" si="8"/>
        <v>900000</v>
      </c>
      <c r="AU170" s="38">
        <f t="shared" si="9"/>
        <v>-95437.540000000037</v>
      </c>
    </row>
    <row r="171" spans="2:47" s="26" customFormat="1" ht="22.5" x14ac:dyDescent="0.25">
      <c r="B171" s="27">
        <f t="shared" si="7"/>
        <v>156</v>
      </c>
      <c r="C171" s="27" t="s">
        <v>39</v>
      </c>
      <c r="D171" s="28">
        <v>40009323</v>
      </c>
      <c r="E171" s="29" t="s">
        <v>1970</v>
      </c>
      <c r="F171" s="29" t="s">
        <v>54</v>
      </c>
      <c r="G171" s="30" t="s">
        <v>1761</v>
      </c>
      <c r="H171" s="29" t="s">
        <v>1787</v>
      </c>
      <c r="I171" s="29" t="s">
        <v>1763</v>
      </c>
      <c r="J171" s="29">
        <v>71861</v>
      </c>
      <c r="K171" s="29"/>
      <c r="L171" s="29"/>
      <c r="M171" s="31">
        <v>0</v>
      </c>
      <c r="N171" s="31">
        <v>0</v>
      </c>
      <c r="O171" s="31">
        <v>0</v>
      </c>
      <c r="P171" s="31"/>
      <c r="Q171" s="31"/>
      <c r="R171" s="31"/>
      <c r="S171" s="31"/>
      <c r="T171" s="31"/>
      <c r="U171" s="31"/>
      <c r="V171" s="31"/>
      <c r="W171" s="31"/>
      <c r="X171" s="31"/>
      <c r="Y171" s="31">
        <f t="shared" si="10"/>
        <v>0</v>
      </c>
      <c r="Z171" s="29">
        <v>1000</v>
      </c>
      <c r="AA171" s="29">
        <v>1</v>
      </c>
      <c r="AB171" s="408">
        <v>44207</v>
      </c>
      <c r="AC171" s="408">
        <v>44249</v>
      </c>
      <c r="AD171" s="29"/>
      <c r="AE171" s="29"/>
      <c r="AF171" s="408"/>
      <c r="AG171" s="29"/>
      <c r="AH171" s="29"/>
      <c r="AI171" s="29"/>
      <c r="AJ171" s="408"/>
      <c r="AK171" s="29"/>
      <c r="AL171" s="29"/>
      <c r="AM171" s="29"/>
      <c r="AN171" s="408"/>
      <c r="AO171" s="89"/>
      <c r="AP171" s="29"/>
      <c r="AQ171" s="29"/>
      <c r="AR171" s="408"/>
      <c r="AS171" s="89"/>
      <c r="AT171" s="37">
        <f t="shared" si="8"/>
        <v>1000</v>
      </c>
      <c r="AU171" s="38">
        <f t="shared" si="9"/>
        <v>1000</v>
      </c>
    </row>
    <row r="172" spans="2:47" s="26" customFormat="1" ht="22.5" x14ac:dyDescent="0.25">
      <c r="B172" s="27">
        <f t="shared" ref="B172:B216" si="11">+B171+1</f>
        <v>157</v>
      </c>
      <c r="C172" s="27" t="s">
        <v>39</v>
      </c>
      <c r="D172" s="28">
        <v>40009595</v>
      </c>
      <c r="E172" s="29" t="s">
        <v>1971</v>
      </c>
      <c r="F172" s="29" t="s">
        <v>54</v>
      </c>
      <c r="G172" s="30" t="s">
        <v>1761</v>
      </c>
      <c r="H172" s="29" t="s">
        <v>1795</v>
      </c>
      <c r="I172" s="29" t="s">
        <v>1763</v>
      </c>
      <c r="J172" s="29">
        <v>1099048</v>
      </c>
      <c r="K172" s="29"/>
      <c r="L172" s="29"/>
      <c r="M172" s="31">
        <v>0</v>
      </c>
      <c r="N172" s="31">
        <v>0</v>
      </c>
      <c r="O172" s="31">
        <v>0</v>
      </c>
      <c r="P172" s="31"/>
      <c r="Q172" s="31"/>
      <c r="R172" s="31"/>
      <c r="S172" s="31"/>
      <c r="T172" s="31"/>
      <c r="U172" s="31"/>
      <c r="V172" s="31"/>
      <c r="W172" s="31"/>
      <c r="X172" s="31"/>
      <c r="Y172" s="31">
        <f t="shared" si="10"/>
        <v>0</v>
      </c>
      <c r="Z172" s="29">
        <v>1000</v>
      </c>
      <c r="AA172" s="29">
        <v>1</v>
      </c>
      <c r="AB172" s="408">
        <v>44207</v>
      </c>
      <c r="AC172" s="408">
        <v>44249</v>
      </c>
      <c r="AD172" s="29"/>
      <c r="AE172" s="29"/>
      <c r="AF172" s="408"/>
      <c r="AG172" s="29"/>
      <c r="AH172" s="29"/>
      <c r="AI172" s="29"/>
      <c r="AJ172" s="408"/>
      <c r="AK172" s="29"/>
      <c r="AL172" s="29"/>
      <c r="AM172" s="29"/>
      <c r="AN172" s="408"/>
      <c r="AO172" s="89"/>
      <c r="AP172" s="29"/>
      <c r="AQ172" s="29"/>
      <c r="AR172" s="408"/>
      <c r="AS172" s="89"/>
      <c r="AT172" s="37">
        <f t="shared" si="8"/>
        <v>1000</v>
      </c>
      <c r="AU172" s="38">
        <f t="shared" si="9"/>
        <v>1000</v>
      </c>
    </row>
    <row r="173" spans="2:47" s="26" customFormat="1" ht="22.5" x14ac:dyDescent="0.25">
      <c r="B173" s="27">
        <f t="shared" si="11"/>
        <v>158</v>
      </c>
      <c r="C173" s="27" t="s">
        <v>39</v>
      </c>
      <c r="D173" s="28">
        <v>40009877</v>
      </c>
      <c r="E173" s="29" t="s">
        <v>1972</v>
      </c>
      <c r="F173" s="29" t="s">
        <v>54</v>
      </c>
      <c r="G173" s="30" t="s">
        <v>1761</v>
      </c>
      <c r="H173" s="29" t="s">
        <v>1836</v>
      </c>
      <c r="I173" s="29" t="s">
        <v>1763</v>
      </c>
      <c r="J173" s="29">
        <v>862526</v>
      </c>
      <c r="K173" s="29"/>
      <c r="L173" s="29"/>
      <c r="M173" s="31">
        <v>0</v>
      </c>
      <c r="N173" s="31">
        <v>0</v>
      </c>
      <c r="O173" s="31">
        <v>0</v>
      </c>
      <c r="P173" s="31"/>
      <c r="Q173" s="31"/>
      <c r="R173" s="31"/>
      <c r="S173" s="31"/>
      <c r="T173" s="31"/>
      <c r="U173" s="31"/>
      <c r="V173" s="31"/>
      <c r="W173" s="31"/>
      <c r="X173" s="31"/>
      <c r="Y173" s="31">
        <f t="shared" si="10"/>
        <v>0</v>
      </c>
      <c r="Z173" s="29">
        <v>1000</v>
      </c>
      <c r="AA173" s="29">
        <v>1</v>
      </c>
      <c r="AB173" s="408">
        <v>44207</v>
      </c>
      <c r="AC173" s="408">
        <v>44249</v>
      </c>
      <c r="AD173" s="29"/>
      <c r="AE173" s="29"/>
      <c r="AF173" s="408"/>
      <c r="AG173" s="29"/>
      <c r="AH173" s="29"/>
      <c r="AI173" s="29"/>
      <c r="AJ173" s="408"/>
      <c r="AK173" s="29"/>
      <c r="AL173" s="29"/>
      <c r="AM173" s="29"/>
      <c r="AN173" s="408"/>
      <c r="AO173" s="89"/>
      <c r="AP173" s="29"/>
      <c r="AQ173" s="29"/>
      <c r="AR173" s="408"/>
      <c r="AS173" s="89"/>
      <c r="AT173" s="37">
        <f t="shared" si="8"/>
        <v>1000</v>
      </c>
      <c r="AU173" s="38">
        <f t="shared" si="9"/>
        <v>1000</v>
      </c>
    </row>
    <row r="174" spans="2:47" s="26" customFormat="1" ht="22.5" x14ac:dyDescent="0.25">
      <c r="B174" s="27">
        <f t="shared" si="11"/>
        <v>159</v>
      </c>
      <c r="C174" s="27" t="s">
        <v>39</v>
      </c>
      <c r="D174" s="28">
        <v>40009952</v>
      </c>
      <c r="E174" s="29" t="s">
        <v>1973</v>
      </c>
      <c r="F174" s="29" t="s">
        <v>54</v>
      </c>
      <c r="G174" s="30" t="s">
        <v>1761</v>
      </c>
      <c r="H174" s="29" t="s">
        <v>1974</v>
      </c>
      <c r="I174" s="29" t="s">
        <v>1763</v>
      </c>
      <c r="J174" s="29">
        <v>891874</v>
      </c>
      <c r="K174" s="29"/>
      <c r="L174" s="29"/>
      <c r="M174" s="31">
        <v>0</v>
      </c>
      <c r="N174" s="31">
        <v>0</v>
      </c>
      <c r="O174" s="31">
        <v>0</v>
      </c>
      <c r="P174" s="31"/>
      <c r="Q174" s="31"/>
      <c r="R174" s="31"/>
      <c r="S174" s="31"/>
      <c r="T174" s="31"/>
      <c r="U174" s="31"/>
      <c r="V174" s="31"/>
      <c r="W174" s="31"/>
      <c r="X174" s="31"/>
      <c r="Y174" s="31">
        <f t="shared" si="10"/>
        <v>0</v>
      </c>
      <c r="Z174" s="29">
        <v>1000</v>
      </c>
      <c r="AA174" s="29">
        <v>1</v>
      </c>
      <c r="AB174" s="408">
        <v>44207</v>
      </c>
      <c r="AC174" s="408">
        <v>44249</v>
      </c>
      <c r="AD174" s="29"/>
      <c r="AE174" s="29"/>
      <c r="AF174" s="408"/>
      <c r="AG174" s="29"/>
      <c r="AH174" s="29"/>
      <c r="AI174" s="29"/>
      <c r="AJ174" s="408"/>
      <c r="AK174" s="29"/>
      <c r="AL174" s="29"/>
      <c r="AM174" s="29"/>
      <c r="AN174" s="408"/>
      <c r="AO174" s="89"/>
      <c r="AP174" s="29"/>
      <c r="AQ174" s="29"/>
      <c r="AR174" s="408"/>
      <c r="AS174" s="89"/>
      <c r="AT174" s="37">
        <f t="shared" si="8"/>
        <v>1000</v>
      </c>
      <c r="AU174" s="38">
        <f t="shared" si="9"/>
        <v>1000</v>
      </c>
    </row>
    <row r="175" spans="2:47" s="26" customFormat="1" ht="22.5" x14ac:dyDescent="0.25">
      <c r="B175" s="27">
        <f t="shared" si="11"/>
        <v>160</v>
      </c>
      <c r="C175" s="27" t="s">
        <v>39</v>
      </c>
      <c r="D175" s="28">
        <v>40009971</v>
      </c>
      <c r="E175" s="29" t="s">
        <v>1975</v>
      </c>
      <c r="F175" s="29" t="s">
        <v>54</v>
      </c>
      <c r="G175" s="30" t="s">
        <v>1761</v>
      </c>
      <c r="H175" s="29" t="s">
        <v>1789</v>
      </c>
      <c r="I175" s="29" t="s">
        <v>1763</v>
      </c>
      <c r="J175" s="29">
        <v>71575</v>
      </c>
      <c r="K175" s="29"/>
      <c r="L175" s="29"/>
      <c r="M175" s="31">
        <v>0</v>
      </c>
      <c r="N175" s="31">
        <v>0</v>
      </c>
      <c r="O175" s="31">
        <v>0</v>
      </c>
      <c r="P175" s="31"/>
      <c r="Q175" s="31"/>
      <c r="R175" s="31"/>
      <c r="S175" s="31"/>
      <c r="T175" s="31"/>
      <c r="U175" s="31"/>
      <c r="V175" s="31"/>
      <c r="W175" s="31"/>
      <c r="X175" s="31"/>
      <c r="Y175" s="31">
        <f t="shared" si="10"/>
        <v>0</v>
      </c>
      <c r="Z175" s="29">
        <v>1000</v>
      </c>
      <c r="AA175" s="29">
        <v>1</v>
      </c>
      <c r="AB175" s="408">
        <v>44207</v>
      </c>
      <c r="AC175" s="408">
        <v>44249</v>
      </c>
      <c r="AD175" s="29"/>
      <c r="AE175" s="29"/>
      <c r="AF175" s="408"/>
      <c r="AG175" s="29"/>
      <c r="AH175" s="29"/>
      <c r="AI175" s="29"/>
      <c r="AJ175" s="408"/>
      <c r="AK175" s="29"/>
      <c r="AL175" s="29"/>
      <c r="AM175" s="29"/>
      <c r="AN175" s="408"/>
      <c r="AO175" s="89"/>
      <c r="AP175" s="29"/>
      <c r="AQ175" s="29"/>
      <c r="AR175" s="408"/>
      <c r="AS175" s="89"/>
      <c r="AT175" s="37">
        <f t="shared" si="8"/>
        <v>1000</v>
      </c>
      <c r="AU175" s="38">
        <f t="shared" si="9"/>
        <v>1000</v>
      </c>
    </row>
    <row r="176" spans="2:47" s="26" customFormat="1" ht="33.75" x14ac:dyDescent="0.25">
      <c r="B176" s="27">
        <f t="shared" si="11"/>
        <v>161</v>
      </c>
      <c r="C176" s="27" t="s">
        <v>39</v>
      </c>
      <c r="D176" s="28">
        <v>40010354</v>
      </c>
      <c r="E176" s="29" t="s">
        <v>1976</v>
      </c>
      <c r="F176" s="29" t="s">
        <v>54</v>
      </c>
      <c r="G176" s="30" t="s">
        <v>1761</v>
      </c>
      <c r="H176" s="29" t="s">
        <v>1793</v>
      </c>
      <c r="I176" s="29" t="s">
        <v>1763</v>
      </c>
      <c r="J176" s="29">
        <v>612772</v>
      </c>
      <c r="K176" s="29"/>
      <c r="L176" s="29"/>
      <c r="M176" s="31">
        <v>0</v>
      </c>
      <c r="N176" s="31">
        <v>0</v>
      </c>
      <c r="O176" s="31">
        <v>0</v>
      </c>
      <c r="P176" s="31"/>
      <c r="Q176" s="31"/>
      <c r="R176" s="31"/>
      <c r="S176" s="31"/>
      <c r="T176" s="31"/>
      <c r="U176" s="31"/>
      <c r="V176" s="31"/>
      <c r="W176" s="31"/>
      <c r="X176" s="31"/>
      <c r="Y176" s="31">
        <f t="shared" si="10"/>
        <v>0</v>
      </c>
      <c r="Z176" s="29">
        <v>1000</v>
      </c>
      <c r="AA176" s="29">
        <v>1</v>
      </c>
      <c r="AB176" s="408">
        <v>44207</v>
      </c>
      <c r="AC176" s="408">
        <v>44249</v>
      </c>
      <c r="AD176" s="29"/>
      <c r="AE176" s="29"/>
      <c r="AF176" s="408"/>
      <c r="AG176" s="29"/>
      <c r="AH176" s="29"/>
      <c r="AI176" s="29"/>
      <c r="AJ176" s="408"/>
      <c r="AK176" s="29"/>
      <c r="AL176" s="29"/>
      <c r="AM176" s="29"/>
      <c r="AN176" s="408"/>
      <c r="AO176" s="89"/>
      <c r="AP176" s="29"/>
      <c r="AQ176" s="29"/>
      <c r="AR176" s="408"/>
      <c r="AS176" s="89"/>
      <c r="AT176" s="37">
        <f t="shared" si="8"/>
        <v>1000</v>
      </c>
      <c r="AU176" s="38">
        <f t="shared" si="9"/>
        <v>1000</v>
      </c>
    </row>
    <row r="177" spans="2:47" s="26" customFormat="1" ht="45" x14ac:dyDescent="0.25">
      <c r="B177" s="27">
        <f t="shared" si="11"/>
        <v>162</v>
      </c>
      <c r="C177" s="27" t="s">
        <v>39</v>
      </c>
      <c r="D177" s="28">
        <v>40010467</v>
      </c>
      <c r="E177" s="29" t="s">
        <v>1977</v>
      </c>
      <c r="F177" s="29" t="s">
        <v>54</v>
      </c>
      <c r="G177" s="30" t="s">
        <v>1761</v>
      </c>
      <c r="H177" s="29" t="s">
        <v>1771</v>
      </c>
      <c r="I177" s="29" t="s">
        <v>1763</v>
      </c>
      <c r="J177" s="29">
        <v>553436</v>
      </c>
      <c r="K177" s="29"/>
      <c r="L177" s="29"/>
      <c r="M177" s="31">
        <v>0</v>
      </c>
      <c r="N177" s="31">
        <v>0</v>
      </c>
      <c r="O177" s="31">
        <v>0</v>
      </c>
      <c r="P177" s="31"/>
      <c r="Q177" s="31"/>
      <c r="R177" s="31"/>
      <c r="S177" s="31"/>
      <c r="T177" s="31"/>
      <c r="U177" s="31"/>
      <c r="V177" s="31"/>
      <c r="W177" s="31"/>
      <c r="X177" s="31"/>
      <c r="Y177" s="31">
        <f t="shared" si="10"/>
        <v>0</v>
      </c>
      <c r="Z177" s="29">
        <v>206000</v>
      </c>
      <c r="AA177" s="29">
        <v>4</v>
      </c>
      <c r="AB177" s="408">
        <v>44221</v>
      </c>
      <c r="AC177" s="408">
        <v>44280</v>
      </c>
      <c r="AD177" s="29"/>
      <c r="AE177" s="29"/>
      <c r="AF177" s="408"/>
      <c r="AG177" s="29"/>
      <c r="AH177" s="29"/>
      <c r="AI177" s="29"/>
      <c r="AJ177" s="408"/>
      <c r="AK177" s="29"/>
      <c r="AL177" s="29"/>
      <c r="AM177" s="29"/>
      <c r="AN177" s="408"/>
      <c r="AO177" s="89"/>
      <c r="AP177" s="29"/>
      <c r="AQ177" s="29"/>
      <c r="AR177" s="408"/>
      <c r="AS177" s="89"/>
      <c r="AT177" s="37">
        <f t="shared" si="8"/>
        <v>206000</v>
      </c>
      <c r="AU177" s="38">
        <f t="shared" si="9"/>
        <v>206000</v>
      </c>
    </row>
    <row r="178" spans="2:47" s="26" customFormat="1" ht="33.75" x14ac:dyDescent="0.25">
      <c r="B178" s="27">
        <f t="shared" si="11"/>
        <v>163</v>
      </c>
      <c r="C178" s="27" t="s">
        <v>39</v>
      </c>
      <c r="D178" s="28">
        <v>40010743</v>
      </c>
      <c r="E178" s="29" t="s">
        <v>1978</v>
      </c>
      <c r="F178" s="29" t="s">
        <v>54</v>
      </c>
      <c r="G178" s="30" t="s">
        <v>1761</v>
      </c>
      <c r="H178" s="29" t="s">
        <v>1800</v>
      </c>
      <c r="I178" s="29" t="s">
        <v>1763</v>
      </c>
      <c r="J178" s="29">
        <v>338204</v>
      </c>
      <c r="K178" s="29"/>
      <c r="L178" s="29"/>
      <c r="M178" s="31">
        <v>0</v>
      </c>
      <c r="N178" s="31">
        <v>0</v>
      </c>
      <c r="O178" s="31">
        <v>0</v>
      </c>
      <c r="P178" s="31"/>
      <c r="Q178" s="31"/>
      <c r="R178" s="31"/>
      <c r="S178" s="31"/>
      <c r="T178" s="31"/>
      <c r="U178" s="31"/>
      <c r="V178" s="31"/>
      <c r="W178" s="31"/>
      <c r="X178" s="31"/>
      <c r="Y178" s="31">
        <f t="shared" si="10"/>
        <v>0</v>
      </c>
      <c r="Z178" s="29">
        <v>1000</v>
      </c>
      <c r="AA178" s="29">
        <v>1</v>
      </c>
      <c r="AB178" s="408">
        <v>44207</v>
      </c>
      <c r="AC178" s="408">
        <v>44249</v>
      </c>
      <c r="AD178" s="29"/>
      <c r="AE178" s="29"/>
      <c r="AF178" s="408"/>
      <c r="AG178" s="29"/>
      <c r="AH178" s="29"/>
      <c r="AI178" s="29"/>
      <c r="AJ178" s="408"/>
      <c r="AK178" s="29"/>
      <c r="AL178" s="29"/>
      <c r="AM178" s="29"/>
      <c r="AN178" s="408"/>
      <c r="AO178" s="89"/>
      <c r="AP178" s="29"/>
      <c r="AQ178" s="29"/>
      <c r="AR178" s="408"/>
      <c r="AS178" s="89"/>
      <c r="AT178" s="37">
        <f t="shared" si="8"/>
        <v>1000</v>
      </c>
      <c r="AU178" s="38">
        <f t="shared" si="9"/>
        <v>1000</v>
      </c>
    </row>
    <row r="179" spans="2:47" s="26" customFormat="1" ht="33.75" x14ac:dyDescent="0.25">
      <c r="B179" s="27">
        <f t="shared" si="11"/>
        <v>164</v>
      </c>
      <c r="C179" s="27" t="s">
        <v>39</v>
      </c>
      <c r="D179" s="28">
        <v>40011341</v>
      </c>
      <c r="E179" s="29" t="s">
        <v>1979</v>
      </c>
      <c r="F179" s="29" t="s">
        <v>54</v>
      </c>
      <c r="G179" s="30" t="s">
        <v>1761</v>
      </c>
      <c r="H179" s="29" t="s">
        <v>1783</v>
      </c>
      <c r="I179" s="29" t="s">
        <v>1763</v>
      </c>
      <c r="J179" s="29">
        <v>611189</v>
      </c>
      <c r="K179" s="29"/>
      <c r="L179" s="29"/>
      <c r="M179" s="31">
        <v>0</v>
      </c>
      <c r="N179" s="31">
        <v>0</v>
      </c>
      <c r="O179" s="31">
        <v>0</v>
      </c>
      <c r="P179" s="31"/>
      <c r="Q179" s="31"/>
      <c r="R179" s="31"/>
      <c r="S179" s="31"/>
      <c r="T179" s="31"/>
      <c r="U179" s="31"/>
      <c r="V179" s="31"/>
      <c r="W179" s="31"/>
      <c r="X179" s="31"/>
      <c r="Y179" s="31">
        <f t="shared" si="10"/>
        <v>0</v>
      </c>
      <c r="Z179" s="29">
        <v>1000</v>
      </c>
      <c r="AA179" s="29">
        <v>1</v>
      </c>
      <c r="AB179" s="408">
        <v>44207</v>
      </c>
      <c r="AC179" s="408">
        <v>44249</v>
      </c>
      <c r="AD179" s="29"/>
      <c r="AE179" s="29"/>
      <c r="AF179" s="408"/>
      <c r="AG179" s="29"/>
      <c r="AH179" s="29"/>
      <c r="AI179" s="29"/>
      <c r="AJ179" s="408"/>
      <c r="AK179" s="29"/>
      <c r="AL179" s="29"/>
      <c r="AM179" s="29"/>
      <c r="AN179" s="408"/>
      <c r="AO179" s="89"/>
      <c r="AP179" s="29"/>
      <c r="AQ179" s="29"/>
      <c r="AR179" s="408"/>
      <c r="AS179" s="89"/>
      <c r="AT179" s="37">
        <f t="shared" si="8"/>
        <v>1000</v>
      </c>
      <c r="AU179" s="38">
        <f t="shared" si="9"/>
        <v>1000</v>
      </c>
    </row>
    <row r="180" spans="2:47" s="26" customFormat="1" ht="33.75" x14ac:dyDescent="0.25">
      <c r="B180" s="27">
        <f t="shared" si="11"/>
        <v>165</v>
      </c>
      <c r="C180" s="27" t="s">
        <v>39</v>
      </c>
      <c r="D180" s="28">
        <v>40011357</v>
      </c>
      <c r="E180" s="29" t="s">
        <v>1980</v>
      </c>
      <c r="F180" s="29" t="s">
        <v>54</v>
      </c>
      <c r="G180" s="30" t="s">
        <v>1761</v>
      </c>
      <c r="H180" s="29" t="s">
        <v>1811</v>
      </c>
      <c r="I180" s="29" t="s">
        <v>1763</v>
      </c>
      <c r="J180" s="29">
        <v>1258898</v>
      </c>
      <c r="K180" s="29"/>
      <c r="L180" s="29"/>
      <c r="M180" s="31">
        <v>0</v>
      </c>
      <c r="N180" s="31">
        <v>0</v>
      </c>
      <c r="O180" s="31">
        <v>0</v>
      </c>
      <c r="P180" s="31"/>
      <c r="Q180" s="31"/>
      <c r="R180" s="31"/>
      <c r="S180" s="31"/>
      <c r="T180" s="31"/>
      <c r="U180" s="31"/>
      <c r="V180" s="31"/>
      <c r="W180" s="31"/>
      <c r="X180" s="31"/>
      <c r="Y180" s="31">
        <f t="shared" si="10"/>
        <v>0</v>
      </c>
      <c r="Z180" s="29">
        <v>1000</v>
      </c>
      <c r="AA180" s="29">
        <v>1</v>
      </c>
      <c r="AB180" s="408">
        <v>44207</v>
      </c>
      <c r="AC180" s="408">
        <v>44249</v>
      </c>
      <c r="AD180" s="29">
        <v>400000</v>
      </c>
      <c r="AE180" s="29">
        <v>4</v>
      </c>
      <c r="AF180" s="408">
        <v>44221</v>
      </c>
      <c r="AG180" s="408">
        <v>44280</v>
      </c>
      <c r="AH180" s="29"/>
      <c r="AI180" s="29"/>
      <c r="AJ180" s="408"/>
      <c r="AK180" s="29"/>
      <c r="AL180" s="29"/>
      <c r="AM180" s="29"/>
      <c r="AN180" s="408"/>
      <c r="AO180" s="89"/>
      <c r="AP180" s="29"/>
      <c r="AQ180" s="29"/>
      <c r="AR180" s="408"/>
      <c r="AS180" s="89"/>
      <c r="AT180" s="37">
        <f t="shared" si="8"/>
        <v>401000</v>
      </c>
      <c r="AU180" s="38">
        <f t="shared" si="9"/>
        <v>401000</v>
      </c>
    </row>
    <row r="181" spans="2:47" s="26" customFormat="1" ht="22.5" x14ac:dyDescent="0.25">
      <c r="B181" s="27">
        <f t="shared" si="11"/>
        <v>166</v>
      </c>
      <c r="C181" s="27" t="s">
        <v>39</v>
      </c>
      <c r="D181" s="28">
        <v>40011534</v>
      </c>
      <c r="E181" s="29" t="s">
        <v>1981</v>
      </c>
      <c r="F181" s="29" t="s">
        <v>60</v>
      </c>
      <c r="G181" s="30" t="s">
        <v>1761</v>
      </c>
      <c r="H181" s="29" t="s">
        <v>1806</v>
      </c>
      <c r="I181" s="29" t="s">
        <v>1808</v>
      </c>
      <c r="J181" s="29">
        <v>2352073</v>
      </c>
      <c r="K181" s="29"/>
      <c r="L181" s="29"/>
      <c r="M181" s="31">
        <v>0</v>
      </c>
      <c r="N181" s="31">
        <v>0</v>
      </c>
      <c r="O181" s="31">
        <v>0</v>
      </c>
      <c r="P181" s="31"/>
      <c r="Q181" s="31"/>
      <c r="R181" s="31"/>
      <c r="S181" s="31"/>
      <c r="T181" s="31"/>
      <c r="U181" s="31"/>
      <c r="V181" s="31"/>
      <c r="W181" s="31"/>
      <c r="X181" s="31"/>
      <c r="Y181" s="31">
        <f t="shared" si="10"/>
        <v>0</v>
      </c>
      <c r="Z181" s="29">
        <v>1000</v>
      </c>
      <c r="AA181" s="29">
        <v>1</v>
      </c>
      <c r="AB181" s="408">
        <v>44207</v>
      </c>
      <c r="AC181" s="408">
        <v>44249</v>
      </c>
      <c r="AD181" s="29"/>
      <c r="AE181" s="29"/>
      <c r="AF181" s="408"/>
      <c r="AG181" s="29"/>
      <c r="AH181" s="29"/>
      <c r="AI181" s="29"/>
      <c r="AJ181" s="408"/>
      <c r="AK181" s="29"/>
      <c r="AL181" s="29"/>
      <c r="AM181" s="29"/>
      <c r="AN181" s="408"/>
      <c r="AO181" s="89"/>
      <c r="AP181" s="29"/>
      <c r="AQ181" s="29"/>
      <c r="AR181" s="408"/>
      <c r="AS181" s="89"/>
      <c r="AT181" s="37">
        <f t="shared" si="8"/>
        <v>1000</v>
      </c>
      <c r="AU181" s="38">
        <f t="shared" si="9"/>
        <v>1000</v>
      </c>
    </row>
    <row r="182" spans="2:47" s="26" customFormat="1" ht="33.75" x14ac:dyDescent="0.25">
      <c r="B182" s="27">
        <f t="shared" si="11"/>
        <v>167</v>
      </c>
      <c r="C182" s="27" t="s">
        <v>39</v>
      </c>
      <c r="D182" s="28">
        <v>40012114</v>
      </c>
      <c r="E182" s="29" t="s">
        <v>1982</v>
      </c>
      <c r="F182" s="29" t="s">
        <v>54</v>
      </c>
      <c r="G182" s="30" t="s">
        <v>1761</v>
      </c>
      <c r="H182" s="29" t="s">
        <v>1795</v>
      </c>
      <c r="I182" s="29" t="s">
        <v>1763</v>
      </c>
      <c r="J182" s="29">
        <v>392624</v>
      </c>
      <c r="K182" s="29"/>
      <c r="L182" s="29"/>
      <c r="M182" s="31">
        <v>0</v>
      </c>
      <c r="N182" s="31">
        <v>0</v>
      </c>
      <c r="O182" s="31">
        <v>0</v>
      </c>
      <c r="P182" s="31"/>
      <c r="Q182" s="31"/>
      <c r="R182" s="31"/>
      <c r="S182" s="31"/>
      <c r="T182" s="31"/>
      <c r="U182" s="31"/>
      <c r="V182" s="31"/>
      <c r="W182" s="31"/>
      <c r="X182" s="31"/>
      <c r="Y182" s="31">
        <f t="shared" si="10"/>
        <v>0</v>
      </c>
      <c r="Z182" s="29">
        <v>1000</v>
      </c>
      <c r="AA182" s="29">
        <v>1</v>
      </c>
      <c r="AB182" s="408">
        <v>44207</v>
      </c>
      <c r="AC182" s="408">
        <v>44249</v>
      </c>
      <c r="AD182" s="29"/>
      <c r="AE182" s="29"/>
      <c r="AF182" s="408"/>
      <c r="AG182" s="29"/>
      <c r="AH182" s="29"/>
      <c r="AI182" s="29"/>
      <c r="AJ182" s="408"/>
      <c r="AK182" s="29"/>
      <c r="AL182" s="29"/>
      <c r="AM182" s="29"/>
      <c r="AN182" s="408"/>
      <c r="AO182" s="89"/>
      <c r="AP182" s="29"/>
      <c r="AQ182" s="29"/>
      <c r="AR182" s="408"/>
      <c r="AS182" s="89"/>
      <c r="AT182" s="37">
        <f t="shared" si="8"/>
        <v>1000</v>
      </c>
      <c r="AU182" s="38">
        <f t="shared" si="9"/>
        <v>1000</v>
      </c>
    </row>
    <row r="183" spans="2:47" s="26" customFormat="1" ht="22.5" x14ac:dyDescent="0.25">
      <c r="B183" s="27">
        <f t="shared" si="11"/>
        <v>168</v>
      </c>
      <c r="C183" s="27" t="s">
        <v>39</v>
      </c>
      <c r="D183" s="28">
        <v>40012235</v>
      </c>
      <c r="E183" s="29" t="s">
        <v>1983</v>
      </c>
      <c r="F183" s="29" t="s">
        <v>54</v>
      </c>
      <c r="G183" s="30" t="s">
        <v>1761</v>
      </c>
      <c r="H183" s="29" t="s">
        <v>1984</v>
      </c>
      <c r="I183" s="29" t="s">
        <v>1808</v>
      </c>
      <c r="J183" s="29">
        <v>77867</v>
      </c>
      <c r="K183" s="29"/>
      <c r="L183" s="29"/>
      <c r="M183" s="31">
        <v>0</v>
      </c>
      <c r="N183" s="31">
        <v>0</v>
      </c>
      <c r="O183" s="31">
        <v>0</v>
      </c>
      <c r="P183" s="31"/>
      <c r="Q183" s="31"/>
      <c r="R183" s="31"/>
      <c r="S183" s="31"/>
      <c r="T183" s="31"/>
      <c r="U183" s="31"/>
      <c r="V183" s="31"/>
      <c r="W183" s="31"/>
      <c r="X183" s="31"/>
      <c r="Y183" s="31">
        <f t="shared" si="10"/>
        <v>0</v>
      </c>
      <c r="Z183" s="29">
        <v>1000</v>
      </c>
      <c r="AA183" s="29">
        <v>1</v>
      </c>
      <c r="AB183" s="408">
        <v>44207</v>
      </c>
      <c r="AC183" s="408">
        <v>44249</v>
      </c>
      <c r="AD183" s="29"/>
      <c r="AE183" s="29"/>
      <c r="AF183" s="408"/>
      <c r="AG183" s="29"/>
      <c r="AH183" s="29"/>
      <c r="AI183" s="29"/>
      <c r="AJ183" s="408"/>
      <c r="AK183" s="29"/>
      <c r="AL183" s="29"/>
      <c r="AM183" s="29"/>
      <c r="AN183" s="408"/>
      <c r="AO183" s="89"/>
      <c r="AP183" s="29"/>
      <c r="AQ183" s="29"/>
      <c r="AR183" s="408"/>
      <c r="AS183" s="89"/>
      <c r="AT183" s="37">
        <f t="shared" si="8"/>
        <v>1000</v>
      </c>
      <c r="AU183" s="38">
        <f t="shared" si="9"/>
        <v>1000</v>
      </c>
    </row>
    <row r="184" spans="2:47" s="26" customFormat="1" ht="22.5" x14ac:dyDescent="0.25">
      <c r="B184" s="27">
        <f t="shared" si="11"/>
        <v>169</v>
      </c>
      <c r="C184" s="27" t="s">
        <v>39</v>
      </c>
      <c r="D184" s="28">
        <v>40012251</v>
      </c>
      <c r="E184" s="29" t="s">
        <v>1985</v>
      </c>
      <c r="F184" s="29" t="s">
        <v>54</v>
      </c>
      <c r="G184" s="30" t="s">
        <v>1761</v>
      </c>
      <c r="H184" s="29" t="s">
        <v>1767</v>
      </c>
      <c r="I184" s="29" t="s">
        <v>1763</v>
      </c>
      <c r="J184" s="29">
        <v>1049082</v>
      </c>
      <c r="K184" s="29"/>
      <c r="L184" s="29"/>
      <c r="M184" s="31">
        <v>0</v>
      </c>
      <c r="N184" s="31">
        <v>0</v>
      </c>
      <c r="O184" s="31">
        <v>0</v>
      </c>
      <c r="P184" s="31"/>
      <c r="Q184" s="31"/>
      <c r="R184" s="31"/>
      <c r="S184" s="31"/>
      <c r="T184" s="31"/>
      <c r="U184" s="31"/>
      <c r="V184" s="31"/>
      <c r="W184" s="31"/>
      <c r="X184" s="31"/>
      <c r="Y184" s="31">
        <f t="shared" si="10"/>
        <v>0</v>
      </c>
      <c r="Z184" s="29">
        <v>1000</v>
      </c>
      <c r="AA184" s="29">
        <v>1</v>
      </c>
      <c r="AB184" s="408">
        <v>44207</v>
      </c>
      <c r="AC184" s="408">
        <v>44249</v>
      </c>
      <c r="AD184" s="29"/>
      <c r="AE184" s="29"/>
      <c r="AF184" s="408"/>
      <c r="AG184" s="29"/>
      <c r="AH184" s="29"/>
      <c r="AI184" s="29"/>
      <c r="AJ184" s="408"/>
      <c r="AK184" s="29"/>
      <c r="AL184" s="29"/>
      <c r="AM184" s="29"/>
      <c r="AN184" s="408"/>
      <c r="AO184" s="89"/>
      <c r="AP184" s="29"/>
      <c r="AQ184" s="29"/>
      <c r="AR184" s="408"/>
      <c r="AS184" s="89"/>
      <c r="AT184" s="37">
        <f t="shared" si="8"/>
        <v>1000</v>
      </c>
      <c r="AU184" s="38">
        <f t="shared" si="9"/>
        <v>1000</v>
      </c>
    </row>
    <row r="185" spans="2:47" s="26" customFormat="1" ht="22.5" x14ac:dyDescent="0.25">
      <c r="B185" s="27">
        <f t="shared" si="11"/>
        <v>170</v>
      </c>
      <c r="C185" s="27" t="s">
        <v>39</v>
      </c>
      <c r="D185" s="28">
        <v>40012382</v>
      </c>
      <c r="E185" s="29" t="s">
        <v>1986</v>
      </c>
      <c r="F185" s="29" t="s">
        <v>54</v>
      </c>
      <c r="G185" s="30" t="s">
        <v>1761</v>
      </c>
      <c r="H185" s="29" t="s">
        <v>1861</v>
      </c>
      <c r="I185" s="29" t="s">
        <v>1763</v>
      </c>
      <c r="J185" s="29">
        <v>31275</v>
      </c>
      <c r="K185" s="29"/>
      <c r="L185" s="29"/>
      <c r="M185" s="31">
        <v>0</v>
      </c>
      <c r="N185" s="31">
        <v>0</v>
      </c>
      <c r="O185" s="31">
        <v>0</v>
      </c>
      <c r="P185" s="31"/>
      <c r="Q185" s="31"/>
      <c r="R185" s="31"/>
      <c r="S185" s="31"/>
      <c r="T185" s="31"/>
      <c r="U185" s="31"/>
      <c r="V185" s="31"/>
      <c r="W185" s="31"/>
      <c r="X185" s="31"/>
      <c r="Y185" s="31">
        <f t="shared" si="10"/>
        <v>0</v>
      </c>
      <c r="Z185" s="29">
        <v>1000</v>
      </c>
      <c r="AA185" s="29">
        <v>1</v>
      </c>
      <c r="AB185" s="408">
        <v>44207</v>
      </c>
      <c r="AC185" s="408">
        <v>44249</v>
      </c>
      <c r="AD185" s="29"/>
      <c r="AE185" s="29"/>
      <c r="AF185" s="408"/>
      <c r="AG185" s="29"/>
      <c r="AH185" s="29"/>
      <c r="AI185" s="29"/>
      <c r="AJ185" s="408"/>
      <c r="AK185" s="29"/>
      <c r="AL185" s="29"/>
      <c r="AM185" s="29"/>
      <c r="AN185" s="408"/>
      <c r="AO185" s="89"/>
      <c r="AP185" s="29"/>
      <c r="AQ185" s="29"/>
      <c r="AR185" s="408"/>
      <c r="AS185" s="89"/>
      <c r="AT185" s="37">
        <f t="shared" si="8"/>
        <v>1000</v>
      </c>
      <c r="AU185" s="38">
        <f t="shared" si="9"/>
        <v>1000</v>
      </c>
    </row>
    <row r="186" spans="2:47" s="26" customFormat="1" ht="33.75" x14ac:dyDescent="0.25">
      <c r="B186" s="27">
        <f t="shared" si="11"/>
        <v>171</v>
      </c>
      <c r="C186" s="27" t="s">
        <v>39</v>
      </c>
      <c r="D186" s="28">
        <v>40012390</v>
      </c>
      <c r="E186" s="29" t="s">
        <v>1987</v>
      </c>
      <c r="F186" s="29" t="s">
        <v>60</v>
      </c>
      <c r="G186" s="30" t="s">
        <v>1761</v>
      </c>
      <c r="H186" s="29" t="s">
        <v>1974</v>
      </c>
      <c r="I186" s="29" t="s">
        <v>1763</v>
      </c>
      <c r="J186" s="29">
        <v>104</v>
      </c>
      <c r="K186" s="29"/>
      <c r="L186" s="29"/>
      <c r="M186" s="31">
        <v>0</v>
      </c>
      <c r="N186" s="31">
        <v>0</v>
      </c>
      <c r="O186" s="31">
        <v>0</v>
      </c>
      <c r="P186" s="31"/>
      <c r="Q186" s="31"/>
      <c r="R186" s="31"/>
      <c r="S186" s="31"/>
      <c r="T186" s="31"/>
      <c r="U186" s="31"/>
      <c r="V186" s="31"/>
      <c r="W186" s="31"/>
      <c r="X186" s="31"/>
      <c r="Y186" s="31">
        <f t="shared" si="10"/>
        <v>0</v>
      </c>
      <c r="Z186" s="29">
        <v>100</v>
      </c>
      <c r="AA186" s="29">
        <v>1</v>
      </c>
      <c r="AB186" s="408">
        <v>44207</v>
      </c>
      <c r="AC186" s="408">
        <v>44249</v>
      </c>
      <c r="AD186" s="29"/>
      <c r="AE186" s="29"/>
      <c r="AF186" s="408"/>
      <c r="AG186" s="29"/>
      <c r="AH186" s="29"/>
      <c r="AI186" s="29"/>
      <c r="AJ186" s="408"/>
      <c r="AK186" s="29"/>
      <c r="AL186" s="29"/>
      <c r="AM186" s="29"/>
      <c r="AN186" s="408"/>
      <c r="AO186" s="89"/>
      <c r="AP186" s="29"/>
      <c r="AQ186" s="29"/>
      <c r="AR186" s="408"/>
      <c r="AS186" s="89"/>
      <c r="AT186" s="37">
        <f t="shared" si="8"/>
        <v>100</v>
      </c>
      <c r="AU186" s="38">
        <f t="shared" si="9"/>
        <v>100</v>
      </c>
    </row>
    <row r="187" spans="2:47" s="26" customFormat="1" ht="33.75" x14ac:dyDescent="0.25">
      <c r="B187" s="27">
        <f t="shared" si="11"/>
        <v>172</v>
      </c>
      <c r="C187" s="27" t="s">
        <v>39</v>
      </c>
      <c r="D187" s="28">
        <v>40012393</v>
      </c>
      <c r="E187" s="29" t="s">
        <v>1988</v>
      </c>
      <c r="F187" s="29" t="s">
        <v>54</v>
      </c>
      <c r="G187" s="30" t="s">
        <v>1761</v>
      </c>
      <c r="H187" s="29" t="s">
        <v>1974</v>
      </c>
      <c r="I187" s="29" t="s">
        <v>1763</v>
      </c>
      <c r="J187" s="29">
        <v>159935</v>
      </c>
      <c r="K187" s="29"/>
      <c r="L187" s="29"/>
      <c r="M187" s="31">
        <v>28706.005000000001</v>
      </c>
      <c r="N187" s="31">
        <v>53671.381000000001</v>
      </c>
      <c r="O187" s="31">
        <v>40670.517999999996</v>
      </c>
      <c r="P187" s="31"/>
      <c r="Q187" s="31"/>
      <c r="R187" s="31"/>
      <c r="S187" s="31"/>
      <c r="T187" s="31"/>
      <c r="U187" s="31"/>
      <c r="V187" s="31"/>
      <c r="W187" s="31"/>
      <c r="X187" s="31"/>
      <c r="Y187" s="31">
        <f t="shared" si="10"/>
        <v>123047.90399999999</v>
      </c>
      <c r="Z187" s="29">
        <v>88550</v>
      </c>
      <c r="AA187" s="29">
        <v>1</v>
      </c>
      <c r="AB187" s="408">
        <v>44207</v>
      </c>
      <c r="AC187" s="408">
        <v>44249</v>
      </c>
      <c r="AD187" s="29"/>
      <c r="AE187" s="29"/>
      <c r="AF187" s="408"/>
      <c r="AG187" s="29"/>
      <c r="AH187" s="29"/>
      <c r="AI187" s="29"/>
      <c r="AJ187" s="408"/>
      <c r="AK187" s="29"/>
      <c r="AL187" s="29"/>
      <c r="AM187" s="29"/>
      <c r="AN187" s="408"/>
      <c r="AO187" s="89"/>
      <c r="AP187" s="29"/>
      <c r="AQ187" s="29"/>
      <c r="AR187" s="408"/>
      <c r="AS187" s="89"/>
      <c r="AT187" s="37">
        <f t="shared" si="8"/>
        <v>88550</v>
      </c>
      <c r="AU187" s="38">
        <f t="shared" si="9"/>
        <v>-34497.903999999995</v>
      </c>
    </row>
    <row r="188" spans="2:47" s="26" customFormat="1" ht="22.5" x14ac:dyDescent="0.25">
      <c r="B188" s="27">
        <f t="shared" si="11"/>
        <v>173</v>
      </c>
      <c r="C188" s="27" t="s">
        <v>39</v>
      </c>
      <c r="D188" s="28">
        <v>40012795</v>
      </c>
      <c r="E188" s="29" t="s">
        <v>1989</v>
      </c>
      <c r="F188" s="29" t="s">
        <v>54</v>
      </c>
      <c r="G188" s="30" t="s">
        <v>1761</v>
      </c>
      <c r="H188" s="29" t="s">
        <v>1798</v>
      </c>
      <c r="I188" s="29" t="s">
        <v>1763</v>
      </c>
      <c r="J188" s="29">
        <v>508279</v>
      </c>
      <c r="K188" s="29"/>
      <c r="L188" s="29"/>
      <c r="M188" s="31">
        <v>0</v>
      </c>
      <c r="N188" s="31">
        <v>0</v>
      </c>
      <c r="O188" s="31">
        <v>0</v>
      </c>
      <c r="P188" s="31"/>
      <c r="Q188" s="31"/>
      <c r="R188" s="31"/>
      <c r="S188" s="31"/>
      <c r="T188" s="31"/>
      <c r="U188" s="31"/>
      <c r="V188" s="31"/>
      <c r="W188" s="31"/>
      <c r="X188" s="31"/>
      <c r="Y188" s="31">
        <f t="shared" si="10"/>
        <v>0</v>
      </c>
      <c r="Z188" s="29">
        <v>1000</v>
      </c>
      <c r="AA188" s="29">
        <v>1</v>
      </c>
      <c r="AB188" s="408">
        <v>44207</v>
      </c>
      <c r="AC188" s="408">
        <v>44249</v>
      </c>
      <c r="AD188" s="29"/>
      <c r="AE188" s="29"/>
      <c r="AF188" s="408"/>
      <c r="AG188" s="29"/>
      <c r="AH188" s="29"/>
      <c r="AI188" s="29"/>
      <c r="AJ188" s="408"/>
      <c r="AK188" s="29"/>
      <c r="AL188" s="29"/>
      <c r="AM188" s="29"/>
      <c r="AN188" s="408"/>
      <c r="AO188" s="89"/>
      <c r="AP188" s="29"/>
      <c r="AQ188" s="29"/>
      <c r="AR188" s="408"/>
      <c r="AS188" s="89"/>
      <c r="AT188" s="37">
        <f t="shared" si="8"/>
        <v>1000</v>
      </c>
      <c r="AU188" s="38">
        <f t="shared" si="9"/>
        <v>1000</v>
      </c>
    </row>
    <row r="189" spans="2:47" s="26" customFormat="1" ht="22.5" x14ac:dyDescent="0.25">
      <c r="B189" s="27">
        <f t="shared" si="11"/>
        <v>174</v>
      </c>
      <c r="C189" s="27" t="s">
        <v>39</v>
      </c>
      <c r="D189" s="28">
        <v>40013067</v>
      </c>
      <c r="E189" s="29" t="s">
        <v>1990</v>
      </c>
      <c r="F189" s="29" t="s">
        <v>54</v>
      </c>
      <c r="G189" s="30" t="s">
        <v>1761</v>
      </c>
      <c r="H189" s="29" t="s">
        <v>1819</v>
      </c>
      <c r="I189" s="29" t="s">
        <v>1763</v>
      </c>
      <c r="J189" s="29">
        <v>1214645</v>
      </c>
      <c r="K189" s="29"/>
      <c r="L189" s="29"/>
      <c r="M189" s="31">
        <v>0</v>
      </c>
      <c r="N189" s="31">
        <v>0</v>
      </c>
      <c r="O189" s="31">
        <v>0</v>
      </c>
      <c r="P189" s="31"/>
      <c r="Q189" s="31"/>
      <c r="R189" s="31"/>
      <c r="S189" s="31"/>
      <c r="T189" s="31"/>
      <c r="U189" s="31"/>
      <c r="V189" s="31"/>
      <c r="W189" s="31"/>
      <c r="X189" s="31"/>
      <c r="Y189" s="31">
        <f t="shared" si="10"/>
        <v>0</v>
      </c>
      <c r="Z189" s="29">
        <v>1000</v>
      </c>
      <c r="AA189" s="29">
        <v>1</v>
      </c>
      <c r="AB189" s="408">
        <v>44207</v>
      </c>
      <c r="AC189" s="408">
        <v>44249</v>
      </c>
      <c r="AD189" s="29"/>
      <c r="AE189" s="29"/>
      <c r="AF189" s="408"/>
      <c r="AG189" s="29"/>
      <c r="AH189" s="29"/>
      <c r="AI189" s="29"/>
      <c r="AJ189" s="408"/>
      <c r="AK189" s="29"/>
      <c r="AL189" s="29"/>
      <c r="AM189" s="29"/>
      <c r="AN189" s="408"/>
      <c r="AO189" s="89"/>
      <c r="AP189" s="29"/>
      <c r="AQ189" s="29"/>
      <c r="AR189" s="408"/>
      <c r="AS189" s="89"/>
      <c r="AT189" s="37">
        <f t="shared" si="8"/>
        <v>1000</v>
      </c>
      <c r="AU189" s="38">
        <f t="shared" si="9"/>
        <v>1000</v>
      </c>
    </row>
    <row r="190" spans="2:47" s="26" customFormat="1" ht="22.5" x14ac:dyDescent="0.25">
      <c r="B190" s="27">
        <f t="shared" si="11"/>
        <v>175</v>
      </c>
      <c r="C190" s="27" t="s">
        <v>39</v>
      </c>
      <c r="D190" s="28">
        <v>40013069</v>
      </c>
      <c r="E190" s="29" t="s">
        <v>1991</v>
      </c>
      <c r="F190" s="29" t="s">
        <v>54</v>
      </c>
      <c r="G190" s="30" t="s">
        <v>1761</v>
      </c>
      <c r="H190" s="29" t="s">
        <v>1819</v>
      </c>
      <c r="I190" s="29" t="s">
        <v>1763</v>
      </c>
      <c r="J190" s="29">
        <v>1320013</v>
      </c>
      <c r="K190" s="29"/>
      <c r="L190" s="29"/>
      <c r="M190" s="31">
        <v>0</v>
      </c>
      <c r="N190" s="31">
        <v>0</v>
      </c>
      <c r="O190" s="31">
        <v>0</v>
      </c>
      <c r="P190" s="31"/>
      <c r="Q190" s="31"/>
      <c r="R190" s="31"/>
      <c r="S190" s="31"/>
      <c r="T190" s="31"/>
      <c r="U190" s="31"/>
      <c r="V190" s="31"/>
      <c r="W190" s="31"/>
      <c r="X190" s="31"/>
      <c r="Y190" s="31">
        <f t="shared" si="10"/>
        <v>0</v>
      </c>
      <c r="Z190" s="29">
        <v>1000</v>
      </c>
      <c r="AA190" s="29">
        <v>1</v>
      </c>
      <c r="AB190" s="408">
        <v>44207</v>
      </c>
      <c r="AC190" s="408">
        <v>44249</v>
      </c>
      <c r="AD190" s="29"/>
      <c r="AE190" s="29"/>
      <c r="AF190" s="408"/>
      <c r="AG190" s="29"/>
      <c r="AH190" s="29"/>
      <c r="AI190" s="29"/>
      <c r="AJ190" s="408"/>
      <c r="AK190" s="29"/>
      <c r="AL190" s="29"/>
      <c r="AM190" s="29"/>
      <c r="AN190" s="408"/>
      <c r="AO190" s="89"/>
      <c r="AP190" s="29"/>
      <c r="AQ190" s="29"/>
      <c r="AR190" s="408"/>
      <c r="AS190" s="89"/>
      <c r="AT190" s="37">
        <f t="shared" si="8"/>
        <v>1000</v>
      </c>
      <c r="AU190" s="38">
        <f t="shared" si="9"/>
        <v>1000</v>
      </c>
    </row>
    <row r="191" spans="2:47" s="26" customFormat="1" ht="22.5" x14ac:dyDescent="0.25">
      <c r="B191" s="27">
        <f t="shared" si="11"/>
        <v>176</v>
      </c>
      <c r="C191" s="27" t="s">
        <v>39</v>
      </c>
      <c r="D191" s="28">
        <v>40013124</v>
      </c>
      <c r="E191" s="29" t="s">
        <v>1992</v>
      </c>
      <c r="F191" s="29" t="s">
        <v>54</v>
      </c>
      <c r="G191" s="30" t="s">
        <v>1761</v>
      </c>
      <c r="H191" s="29" t="s">
        <v>1765</v>
      </c>
      <c r="I191" s="29" t="s">
        <v>1763</v>
      </c>
      <c r="J191" s="29">
        <v>233181</v>
      </c>
      <c r="K191" s="29"/>
      <c r="L191" s="29"/>
      <c r="M191" s="31">
        <v>0</v>
      </c>
      <c r="N191" s="31">
        <v>0</v>
      </c>
      <c r="O191" s="31">
        <v>0</v>
      </c>
      <c r="P191" s="31"/>
      <c r="Q191" s="31"/>
      <c r="R191" s="31"/>
      <c r="S191" s="31"/>
      <c r="T191" s="31"/>
      <c r="U191" s="31"/>
      <c r="V191" s="31"/>
      <c r="W191" s="31"/>
      <c r="X191" s="31"/>
      <c r="Y191" s="31">
        <f t="shared" si="10"/>
        <v>0</v>
      </c>
      <c r="Z191" s="29">
        <v>1000</v>
      </c>
      <c r="AA191" s="29">
        <v>1</v>
      </c>
      <c r="AB191" s="408">
        <v>44207</v>
      </c>
      <c r="AC191" s="408">
        <v>44249</v>
      </c>
      <c r="AD191" s="29"/>
      <c r="AE191" s="29"/>
      <c r="AF191" s="408"/>
      <c r="AG191" s="29"/>
      <c r="AH191" s="29"/>
      <c r="AI191" s="29"/>
      <c r="AJ191" s="408"/>
      <c r="AK191" s="29"/>
      <c r="AL191" s="29"/>
      <c r="AM191" s="29"/>
      <c r="AN191" s="408"/>
      <c r="AO191" s="89"/>
      <c r="AP191" s="29"/>
      <c r="AQ191" s="29"/>
      <c r="AR191" s="408"/>
      <c r="AS191" s="89"/>
      <c r="AT191" s="37">
        <f t="shared" si="8"/>
        <v>1000</v>
      </c>
      <c r="AU191" s="38">
        <f t="shared" si="9"/>
        <v>1000</v>
      </c>
    </row>
    <row r="192" spans="2:47" s="26" customFormat="1" ht="22.5" x14ac:dyDescent="0.25">
      <c r="B192" s="27">
        <f t="shared" si="11"/>
        <v>177</v>
      </c>
      <c r="C192" s="27" t="s">
        <v>39</v>
      </c>
      <c r="D192" s="28">
        <v>40013210</v>
      </c>
      <c r="E192" s="29" t="s">
        <v>1993</v>
      </c>
      <c r="F192" s="29" t="s">
        <v>54</v>
      </c>
      <c r="G192" s="30" t="s">
        <v>1761</v>
      </c>
      <c r="H192" s="29" t="s">
        <v>1804</v>
      </c>
      <c r="I192" s="29" t="s">
        <v>1808</v>
      </c>
      <c r="J192" s="29">
        <v>740766</v>
      </c>
      <c r="K192" s="29"/>
      <c r="L192" s="29"/>
      <c r="M192" s="31">
        <v>0</v>
      </c>
      <c r="N192" s="31">
        <v>0</v>
      </c>
      <c r="O192" s="31">
        <v>0</v>
      </c>
      <c r="P192" s="31"/>
      <c r="Q192" s="31"/>
      <c r="R192" s="31"/>
      <c r="S192" s="31"/>
      <c r="T192" s="31"/>
      <c r="U192" s="31"/>
      <c r="V192" s="31"/>
      <c r="W192" s="31"/>
      <c r="X192" s="31"/>
      <c r="Y192" s="31">
        <f t="shared" si="10"/>
        <v>0</v>
      </c>
      <c r="Z192" s="29">
        <v>1000</v>
      </c>
      <c r="AA192" s="29">
        <v>1</v>
      </c>
      <c r="AB192" s="408">
        <v>44207</v>
      </c>
      <c r="AC192" s="408">
        <v>44249</v>
      </c>
      <c r="AD192" s="29"/>
      <c r="AE192" s="29"/>
      <c r="AF192" s="408"/>
      <c r="AG192" s="29"/>
      <c r="AH192" s="29"/>
      <c r="AI192" s="29"/>
      <c r="AJ192" s="408"/>
      <c r="AK192" s="29"/>
      <c r="AL192" s="29"/>
      <c r="AM192" s="29"/>
      <c r="AN192" s="408"/>
      <c r="AO192" s="89"/>
      <c r="AP192" s="29"/>
      <c r="AQ192" s="29"/>
      <c r="AR192" s="408"/>
      <c r="AS192" s="89"/>
      <c r="AT192" s="37">
        <f t="shared" si="8"/>
        <v>1000</v>
      </c>
      <c r="AU192" s="38">
        <f t="shared" si="9"/>
        <v>1000</v>
      </c>
    </row>
    <row r="193" spans="2:47" s="26" customFormat="1" ht="22.5" x14ac:dyDescent="0.25">
      <c r="B193" s="27">
        <f t="shared" si="11"/>
        <v>178</v>
      </c>
      <c r="C193" s="27" t="s">
        <v>39</v>
      </c>
      <c r="D193" s="28">
        <v>40013965</v>
      </c>
      <c r="E193" s="29" t="s">
        <v>1994</v>
      </c>
      <c r="F193" s="29" t="s">
        <v>60</v>
      </c>
      <c r="G193" s="30" t="s">
        <v>1761</v>
      </c>
      <c r="H193" s="29" t="s">
        <v>1969</v>
      </c>
      <c r="I193" s="29" t="s">
        <v>1808</v>
      </c>
      <c r="J193" s="29">
        <v>1694740</v>
      </c>
      <c r="K193" s="29"/>
      <c r="L193" s="29"/>
      <c r="M193" s="31">
        <v>0</v>
      </c>
      <c r="N193" s="31">
        <v>0</v>
      </c>
      <c r="O193" s="31">
        <v>0</v>
      </c>
      <c r="P193" s="31"/>
      <c r="Q193" s="31"/>
      <c r="R193" s="31"/>
      <c r="S193" s="31"/>
      <c r="T193" s="31"/>
      <c r="U193" s="31"/>
      <c r="V193" s="31"/>
      <c r="W193" s="31"/>
      <c r="X193" s="31"/>
      <c r="Y193" s="31">
        <f t="shared" si="10"/>
        <v>0</v>
      </c>
      <c r="Z193" s="29">
        <v>1000</v>
      </c>
      <c r="AA193" s="29">
        <v>1</v>
      </c>
      <c r="AB193" s="408">
        <v>44207</v>
      </c>
      <c r="AC193" s="408">
        <v>44249</v>
      </c>
      <c r="AD193" s="29"/>
      <c r="AE193" s="29"/>
      <c r="AF193" s="408"/>
      <c r="AG193" s="29"/>
      <c r="AH193" s="29"/>
      <c r="AI193" s="29"/>
      <c r="AJ193" s="408"/>
      <c r="AK193" s="29"/>
      <c r="AL193" s="29"/>
      <c r="AM193" s="29"/>
      <c r="AN193" s="408"/>
      <c r="AO193" s="89"/>
      <c r="AP193" s="29"/>
      <c r="AQ193" s="29"/>
      <c r="AR193" s="408"/>
      <c r="AS193" s="89"/>
      <c r="AT193" s="37">
        <f t="shared" si="8"/>
        <v>1000</v>
      </c>
      <c r="AU193" s="38">
        <f t="shared" si="9"/>
        <v>1000</v>
      </c>
    </row>
    <row r="194" spans="2:47" s="26" customFormat="1" ht="33.75" x14ac:dyDescent="0.25">
      <c r="B194" s="27">
        <f t="shared" si="11"/>
        <v>179</v>
      </c>
      <c r="C194" s="27" t="s">
        <v>39</v>
      </c>
      <c r="D194" s="28">
        <v>40014246</v>
      </c>
      <c r="E194" s="29" t="s">
        <v>1995</v>
      </c>
      <c r="F194" s="29" t="s">
        <v>54</v>
      </c>
      <c r="G194" s="30" t="s">
        <v>1761</v>
      </c>
      <c r="H194" s="29" t="s">
        <v>1996</v>
      </c>
      <c r="I194" s="29" t="s">
        <v>1763</v>
      </c>
      <c r="J194" s="29">
        <v>2722302</v>
      </c>
      <c r="K194" s="29"/>
      <c r="L194" s="29"/>
      <c r="M194" s="31">
        <v>0</v>
      </c>
      <c r="N194" s="31">
        <v>0</v>
      </c>
      <c r="O194" s="31">
        <v>0</v>
      </c>
      <c r="P194" s="31"/>
      <c r="Q194" s="31"/>
      <c r="R194" s="31"/>
      <c r="S194" s="31"/>
      <c r="T194" s="31"/>
      <c r="U194" s="31"/>
      <c r="V194" s="31"/>
      <c r="W194" s="31"/>
      <c r="X194" s="31"/>
      <c r="Y194" s="31">
        <f t="shared" si="10"/>
        <v>0</v>
      </c>
      <c r="Z194" s="29">
        <v>1000</v>
      </c>
      <c r="AA194" s="29">
        <v>1</v>
      </c>
      <c r="AB194" s="408">
        <v>44207</v>
      </c>
      <c r="AC194" s="408">
        <v>44249</v>
      </c>
      <c r="AD194" s="29"/>
      <c r="AE194" s="29"/>
      <c r="AF194" s="408"/>
      <c r="AG194" s="29"/>
      <c r="AH194" s="29"/>
      <c r="AI194" s="29"/>
      <c r="AJ194" s="408"/>
      <c r="AK194" s="29"/>
      <c r="AL194" s="29"/>
      <c r="AM194" s="29"/>
      <c r="AN194" s="408"/>
      <c r="AO194" s="89"/>
      <c r="AP194" s="29"/>
      <c r="AQ194" s="29"/>
      <c r="AR194" s="408"/>
      <c r="AS194" s="89"/>
      <c r="AT194" s="37">
        <f t="shared" si="8"/>
        <v>1000</v>
      </c>
      <c r="AU194" s="38">
        <f t="shared" si="9"/>
        <v>1000</v>
      </c>
    </row>
    <row r="195" spans="2:47" s="26" customFormat="1" ht="22.5" x14ac:dyDescent="0.25">
      <c r="B195" s="27">
        <f t="shared" si="11"/>
        <v>180</v>
      </c>
      <c r="C195" s="27" t="s">
        <v>39</v>
      </c>
      <c r="D195" s="28">
        <v>40014331</v>
      </c>
      <c r="E195" s="29" t="s">
        <v>1997</v>
      </c>
      <c r="F195" s="29" t="s">
        <v>60</v>
      </c>
      <c r="G195" s="30" t="s">
        <v>1761</v>
      </c>
      <c r="H195" s="29" t="s">
        <v>1898</v>
      </c>
      <c r="I195" s="29" t="s">
        <v>1763</v>
      </c>
      <c r="J195" s="29">
        <v>3754343</v>
      </c>
      <c r="K195" s="29"/>
      <c r="L195" s="29"/>
      <c r="M195" s="31">
        <v>0</v>
      </c>
      <c r="N195" s="31">
        <v>0</v>
      </c>
      <c r="O195" s="31">
        <v>0</v>
      </c>
      <c r="P195" s="31"/>
      <c r="Q195" s="31"/>
      <c r="R195" s="31"/>
      <c r="S195" s="31"/>
      <c r="T195" s="31"/>
      <c r="U195" s="31"/>
      <c r="V195" s="31"/>
      <c r="W195" s="31"/>
      <c r="X195" s="31"/>
      <c r="Y195" s="31">
        <f t="shared" si="10"/>
        <v>0</v>
      </c>
      <c r="Z195" s="29">
        <v>1000</v>
      </c>
      <c r="AA195" s="29">
        <v>1</v>
      </c>
      <c r="AB195" s="408">
        <v>44207</v>
      </c>
      <c r="AC195" s="408">
        <v>44249</v>
      </c>
      <c r="AD195" s="29"/>
      <c r="AE195" s="29"/>
      <c r="AF195" s="408"/>
      <c r="AG195" s="29"/>
      <c r="AH195" s="29"/>
      <c r="AI195" s="29"/>
      <c r="AJ195" s="408"/>
      <c r="AK195" s="29"/>
      <c r="AL195" s="29"/>
      <c r="AM195" s="29"/>
      <c r="AN195" s="408"/>
      <c r="AO195" s="89"/>
      <c r="AP195" s="29"/>
      <c r="AQ195" s="29"/>
      <c r="AR195" s="408"/>
      <c r="AS195" s="89"/>
      <c r="AT195" s="37">
        <f t="shared" si="8"/>
        <v>1000</v>
      </c>
      <c r="AU195" s="38">
        <f t="shared" si="9"/>
        <v>1000</v>
      </c>
    </row>
    <row r="196" spans="2:47" s="26" customFormat="1" ht="22.5" x14ac:dyDescent="0.25">
      <c r="B196" s="27">
        <f t="shared" si="11"/>
        <v>181</v>
      </c>
      <c r="C196" s="27" t="s">
        <v>39</v>
      </c>
      <c r="D196" s="28">
        <v>40014862</v>
      </c>
      <c r="E196" s="29" t="s">
        <v>1998</v>
      </c>
      <c r="F196" s="29" t="s">
        <v>54</v>
      </c>
      <c r="G196" s="30" t="s">
        <v>1761</v>
      </c>
      <c r="H196" s="29" t="s">
        <v>1861</v>
      </c>
      <c r="I196" s="29" t="s">
        <v>1763</v>
      </c>
      <c r="J196" s="29">
        <v>104</v>
      </c>
      <c r="K196" s="29"/>
      <c r="L196" s="29"/>
      <c r="M196" s="31">
        <v>0</v>
      </c>
      <c r="N196" s="31">
        <v>0</v>
      </c>
      <c r="O196" s="31">
        <v>0</v>
      </c>
      <c r="P196" s="31"/>
      <c r="Q196" s="31"/>
      <c r="R196" s="31"/>
      <c r="S196" s="31"/>
      <c r="T196" s="31"/>
      <c r="U196" s="31"/>
      <c r="V196" s="31"/>
      <c r="W196" s="31"/>
      <c r="X196" s="31"/>
      <c r="Y196" s="31">
        <f t="shared" si="10"/>
        <v>0</v>
      </c>
      <c r="Z196" s="29">
        <v>100</v>
      </c>
      <c r="AA196" s="29">
        <v>1</v>
      </c>
      <c r="AB196" s="408">
        <v>44207</v>
      </c>
      <c r="AC196" s="408">
        <v>44249</v>
      </c>
      <c r="AD196" s="29"/>
      <c r="AE196" s="29"/>
      <c r="AF196" s="408"/>
      <c r="AG196" s="29"/>
      <c r="AH196" s="29"/>
      <c r="AI196" s="29"/>
      <c r="AJ196" s="408"/>
      <c r="AK196" s="29"/>
      <c r="AL196" s="29"/>
      <c r="AM196" s="29"/>
      <c r="AN196" s="408"/>
      <c r="AO196" s="89"/>
      <c r="AP196" s="29"/>
      <c r="AQ196" s="29"/>
      <c r="AR196" s="408"/>
      <c r="AS196" s="89"/>
      <c r="AT196" s="37">
        <f t="shared" si="8"/>
        <v>100</v>
      </c>
      <c r="AU196" s="38">
        <f t="shared" si="9"/>
        <v>100</v>
      </c>
    </row>
    <row r="197" spans="2:47" s="26" customFormat="1" ht="22.5" x14ac:dyDescent="0.25">
      <c r="B197" s="27">
        <f t="shared" si="11"/>
        <v>182</v>
      </c>
      <c r="C197" s="27" t="s">
        <v>39</v>
      </c>
      <c r="D197" s="28">
        <v>40015285</v>
      </c>
      <c r="E197" s="29" t="s">
        <v>1999</v>
      </c>
      <c r="F197" s="29" t="s">
        <v>54</v>
      </c>
      <c r="G197" s="30" t="s">
        <v>1761</v>
      </c>
      <c r="H197" s="29" t="s">
        <v>1804</v>
      </c>
      <c r="I197" s="29" t="s">
        <v>1763</v>
      </c>
      <c r="J197" s="29">
        <v>843359</v>
      </c>
      <c r="K197" s="29"/>
      <c r="L197" s="29"/>
      <c r="M197" s="31">
        <v>0</v>
      </c>
      <c r="N197" s="31">
        <v>0</v>
      </c>
      <c r="O197" s="31">
        <v>0</v>
      </c>
      <c r="P197" s="31"/>
      <c r="Q197" s="31"/>
      <c r="R197" s="31"/>
      <c r="S197" s="31"/>
      <c r="T197" s="31"/>
      <c r="U197" s="31"/>
      <c r="V197" s="31"/>
      <c r="W197" s="31"/>
      <c r="X197" s="31"/>
      <c r="Y197" s="31">
        <f t="shared" si="10"/>
        <v>0</v>
      </c>
      <c r="Z197" s="29">
        <v>1000</v>
      </c>
      <c r="AA197" s="29">
        <v>1</v>
      </c>
      <c r="AB197" s="408">
        <v>44207</v>
      </c>
      <c r="AC197" s="408">
        <v>44249</v>
      </c>
      <c r="AD197" s="29"/>
      <c r="AE197" s="29"/>
      <c r="AF197" s="408"/>
      <c r="AG197" s="29"/>
      <c r="AH197" s="29"/>
      <c r="AI197" s="29"/>
      <c r="AJ197" s="408"/>
      <c r="AK197" s="29"/>
      <c r="AL197" s="29"/>
      <c r="AM197" s="29"/>
      <c r="AN197" s="408"/>
      <c r="AO197" s="89"/>
      <c r="AP197" s="29"/>
      <c r="AQ197" s="29"/>
      <c r="AR197" s="408"/>
      <c r="AS197" s="89"/>
      <c r="AT197" s="37">
        <f t="shared" si="8"/>
        <v>1000</v>
      </c>
      <c r="AU197" s="38">
        <f t="shared" si="9"/>
        <v>1000</v>
      </c>
    </row>
    <row r="198" spans="2:47" s="26" customFormat="1" ht="45" x14ac:dyDescent="0.25">
      <c r="B198" s="27">
        <f t="shared" si="11"/>
        <v>183</v>
      </c>
      <c r="C198" s="27" t="s">
        <v>39</v>
      </c>
      <c r="D198" s="28">
        <v>40015519</v>
      </c>
      <c r="E198" s="29" t="s">
        <v>2000</v>
      </c>
      <c r="F198" s="29" t="s">
        <v>54</v>
      </c>
      <c r="G198" s="30" t="s">
        <v>1761</v>
      </c>
      <c r="H198" s="29" t="s">
        <v>1771</v>
      </c>
      <c r="I198" s="29" t="s">
        <v>1763</v>
      </c>
      <c r="J198" s="29">
        <v>283448</v>
      </c>
      <c r="K198" s="29"/>
      <c r="L198" s="29"/>
      <c r="M198" s="31">
        <v>0</v>
      </c>
      <c r="N198" s="31">
        <v>0</v>
      </c>
      <c r="O198" s="31">
        <v>0</v>
      </c>
      <c r="P198" s="31"/>
      <c r="Q198" s="31"/>
      <c r="R198" s="31"/>
      <c r="S198" s="31"/>
      <c r="T198" s="31"/>
      <c r="U198" s="31"/>
      <c r="V198" s="31"/>
      <c r="W198" s="31"/>
      <c r="X198" s="31"/>
      <c r="Y198" s="31">
        <f t="shared" si="10"/>
        <v>0</v>
      </c>
      <c r="Z198" s="29">
        <v>1000</v>
      </c>
      <c r="AA198" s="29">
        <v>1</v>
      </c>
      <c r="AB198" s="408">
        <v>44207</v>
      </c>
      <c r="AC198" s="408">
        <v>44249</v>
      </c>
      <c r="AD198" s="29"/>
      <c r="AE198" s="29"/>
      <c r="AF198" s="408"/>
      <c r="AG198" s="29"/>
      <c r="AH198" s="29"/>
      <c r="AI198" s="29"/>
      <c r="AJ198" s="408"/>
      <c r="AK198" s="29"/>
      <c r="AL198" s="29"/>
      <c r="AM198" s="29"/>
      <c r="AN198" s="408"/>
      <c r="AO198" s="89"/>
      <c r="AP198" s="29"/>
      <c r="AQ198" s="29"/>
      <c r="AR198" s="408"/>
      <c r="AS198" s="89"/>
      <c r="AT198" s="37">
        <f t="shared" si="8"/>
        <v>1000</v>
      </c>
      <c r="AU198" s="38">
        <f t="shared" si="9"/>
        <v>1000</v>
      </c>
    </row>
    <row r="199" spans="2:47" s="26" customFormat="1" ht="22.5" x14ac:dyDescent="0.25">
      <c r="B199" s="27">
        <f t="shared" si="11"/>
        <v>184</v>
      </c>
      <c r="C199" s="27" t="s">
        <v>39</v>
      </c>
      <c r="D199" s="28">
        <v>40016391</v>
      </c>
      <c r="E199" s="29" t="s">
        <v>2001</v>
      </c>
      <c r="F199" s="29" t="s">
        <v>60</v>
      </c>
      <c r="G199" s="30" t="s">
        <v>1761</v>
      </c>
      <c r="H199" s="29" t="s">
        <v>1843</v>
      </c>
      <c r="I199" s="29" t="s">
        <v>1763</v>
      </c>
      <c r="J199" s="29">
        <v>435035</v>
      </c>
      <c r="K199" s="29"/>
      <c r="L199" s="29"/>
      <c r="M199" s="31">
        <v>0</v>
      </c>
      <c r="N199" s="31">
        <v>0</v>
      </c>
      <c r="O199" s="31">
        <v>0</v>
      </c>
      <c r="P199" s="31"/>
      <c r="Q199" s="31"/>
      <c r="R199" s="31"/>
      <c r="S199" s="31"/>
      <c r="T199" s="31"/>
      <c r="U199" s="31"/>
      <c r="V199" s="31"/>
      <c r="W199" s="31"/>
      <c r="X199" s="31"/>
      <c r="Y199" s="31">
        <f t="shared" si="10"/>
        <v>0</v>
      </c>
      <c r="Z199" s="29">
        <v>1000</v>
      </c>
      <c r="AA199" s="29">
        <v>1</v>
      </c>
      <c r="AB199" s="408">
        <v>44207</v>
      </c>
      <c r="AC199" s="408">
        <v>44249</v>
      </c>
      <c r="AD199" s="29"/>
      <c r="AE199" s="29"/>
      <c r="AF199" s="408"/>
      <c r="AG199" s="29"/>
      <c r="AH199" s="29"/>
      <c r="AI199" s="29"/>
      <c r="AJ199" s="408"/>
      <c r="AK199" s="29"/>
      <c r="AL199" s="29"/>
      <c r="AM199" s="29"/>
      <c r="AN199" s="408"/>
      <c r="AO199" s="89"/>
      <c r="AP199" s="29"/>
      <c r="AQ199" s="29"/>
      <c r="AR199" s="408"/>
      <c r="AS199" s="89"/>
      <c r="AT199" s="37">
        <f t="shared" si="8"/>
        <v>1000</v>
      </c>
      <c r="AU199" s="38">
        <f t="shared" si="9"/>
        <v>1000</v>
      </c>
    </row>
    <row r="200" spans="2:47" s="26" customFormat="1" ht="22.5" x14ac:dyDescent="0.25">
      <c r="B200" s="27">
        <f t="shared" si="11"/>
        <v>185</v>
      </c>
      <c r="C200" s="27" t="s">
        <v>39</v>
      </c>
      <c r="D200" s="28">
        <v>40017003</v>
      </c>
      <c r="E200" s="29" t="s">
        <v>2002</v>
      </c>
      <c r="F200" s="29" t="s">
        <v>54</v>
      </c>
      <c r="G200" s="30" t="s">
        <v>1761</v>
      </c>
      <c r="H200" s="29" t="s">
        <v>1828</v>
      </c>
      <c r="I200" s="29" t="s">
        <v>1763</v>
      </c>
      <c r="J200" s="29">
        <v>430732</v>
      </c>
      <c r="K200" s="29"/>
      <c r="L200" s="29"/>
      <c r="M200" s="31">
        <v>0</v>
      </c>
      <c r="N200" s="31">
        <v>0</v>
      </c>
      <c r="O200" s="31">
        <v>0</v>
      </c>
      <c r="P200" s="31"/>
      <c r="Q200" s="31"/>
      <c r="R200" s="31"/>
      <c r="S200" s="31"/>
      <c r="T200" s="31"/>
      <c r="U200" s="31"/>
      <c r="V200" s="31"/>
      <c r="W200" s="31"/>
      <c r="X200" s="31"/>
      <c r="Y200" s="31">
        <f t="shared" si="10"/>
        <v>0</v>
      </c>
      <c r="Z200" s="29">
        <v>1000</v>
      </c>
      <c r="AA200" s="29">
        <v>1</v>
      </c>
      <c r="AB200" s="408">
        <v>44207</v>
      </c>
      <c r="AC200" s="408">
        <v>44249</v>
      </c>
      <c r="AD200" s="29"/>
      <c r="AE200" s="29"/>
      <c r="AF200" s="408"/>
      <c r="AG200" s="29"/>
      <c r="AH200" s="29"/>
      <c r="AI200" s="29"/>
      <c r="AJ200" s="408"/>
      <c r="AK200" s="29"/>
      <c r="AL200" s="29"/>
      <c r="AM200" s="29"/>
      <c r="AN200" s="408"/>
      <c r="AO200" s="89"/>
      <c r="AP200" s="29"/>
      <c r="AQ200" s="29"/>
      <c r="AR200" s="408"/>
      <c r="AS200" s="89"/>
      <c r="AT200" s="37">
        <f t="shared" si="8"/>
        <v>1000</v>
      </c>
      <c r="AU200" s="38">
        <f t="shared" si="9"/>
        <v>1000</v>
      </c>
    </row>
    <row r="201" spans="2:47" s="26" customFormat="1" ht="22.5" x14ac:dyDescent="0.25">
      <c r="B201" s="27">
        <f t="shared" si="11"/>
        <v>186</v>
      </c>
      <c r="C201" s="27" t="s">
        <v>39</v>
      </c>
      <c r="D201" s="28">
        <v>40017009</v>
      </c>
      <c r="E201" s="29" t="s">
        <v>2003</v>
      </c>
      <c r="F201" s="29" t="s">
        <v>54</v>
      </c>
      <c r="G201" s="30" t="s">
        <v>1761</v>
      </c>
      <c r="H201" s="29" t="s">
        <v>1828</v>
      </c>
      <c r="I201" s="29" t="s">
        <v>1808</v>
      </c>
      <c r="J201" s="29">
        <v>212235</v>
      </c>
      <c r="K201" s="29"/>
      <c r="L201" s="29"/>
      <c r="M201" s="31">
        <v>0</v>
      </c>
      <c r="N201" s="31">
        <v>0</v>
      </c>
      <c r="O201" s="31">
        <v>0</v>
      </c>
      <c r="P201" s="31"/>
      <c r="Q201" s="31"/>
      <c r="R201" s="31"/>
      <c r="S201" s="31"/>
      <c r="T201" s="31"/>
      <c r="U201" s="31"/>
      <c r="V201" s="31"/>
      <c r="W201" s="31"/>
      <c r="X201" s="31"/>
      <c r="Y201" s="31">
        <f t="shared" si="10"/>
        <v>0</v>
      </c>
      <c r="Z201" s="29">
        <v>1000</v>
      </c>
      <c r="AA201" s="29">
        <v>1</v>
      </c>
      <c r="AB201" s="408">
        <v>44207</v>
      </c>
      <c r="AC201" s="408">
        <v>44249</v>
      </c>
      <c r="AD201" s="29"/>
      <c r="AE201" s="29"/>
      <c r="AF201" s="408"/>
      <c r="AG201" s="29"/>
      <c r="AH201" s="29"/>
      <c r="AI201" s="29"/>
      <c r="AJ201" s="408"/>
      <c r="AK201" s="29"/>
      <c r="AL201" s="29"/>
      <c r="AM201" s="29"/>
      <c r="AN201" s="408"/>
      <c r="AO201" s="89"/>
      <c r="AP201" s="29"/>
      <c r="AQ201" s="29"/>
      <c r="AR201" s="408"/>
      <c r="AS201" s="89"/>
      <c r="AT201" s="37">
        <f t="shared" si="8"/>
        <v>1000</v>
      </c>
      <c r="AU201" s="38">
        <f t="shared" si="9"/>
        <v>1000</v>
      </c>
    </row>
    <row r="202" spans="2:47" s="26" customFormat="1" ht="22.5" x14ac:dyDescent="0.25">
      <c r="B202" s="27">
        <f t="shared" si="11"/>
        <v>187</v>
      </c>
      <c r="C202" s="27" t="s">
        <v>39</v>
      </c>
      <c r="D202" s="28">
        <v>40017920</v>
      </c>
      <c r="E202" s="29" t="s">
        <v>2004</v>
      </c>
      <c r="F202" s="29" t="s">
        <v>54</v>
      </c>
      <c r="G202" s="30" t="s">
        <v>1761</v>
      </c>
      <c r="H202" s="29" t="s">
        <v>1855</v>
      </c>
      <c r="I202" s="29" t="s">
        <v>1763</v>
      </c>
      <c r="J202" s="29">
        <v>1159993</v>
      </c>
      <c r="K202" s="29"/>
      <c r="L202" s="29"/>
      <c r="M202" s="31">
        <v>0</v>
      </c>
      <c r="N202" s="31">
        <v>0</v>
      </c>
      <c r="O202" s="31">
        <v>0</v>
      </c>
      <c r="P202" s="31"/>
      <c r="Q202" s="31"/>
      <c r="R202" s="31"/>
      <c r="S202" s="31"/>
      <c r="T202" s="31"/>
      <c r="U202" s="31"/>
      <c r="V202" s="31"/>
      <c r="W202" s="31"/>
      <c r="X202" s="31"/>
      <c r="Y202" s="31">
        <f t="shared" si="10"/>
        <v>0</v>
      </c>
      <c r="Z202" s="29">
        <v>1000</v>
      </c>
      <c r="AA202" s="29">
        <v>1</v>
      </c>
      <c r="AB202" s="408">
        <v>44207</v>
      </c>
      <c r="AC202" s="408">
        <v>44249</v>
      </c>
      <c r="AD202" s="29"/>
      <c r="AE202" s="29"/>
      <c r="AF202" s="408"/>
      <c r="AG202" s="29"/>
      <c r="AH202" s="29"/>
      <c r="AI202" s="29"/>
      <c r="AJ202" s="408"/>
      <c r="AK202" s="29"/>
      <c r="AL202" s="29"/>
      <c r="AM202" s="29"/>
      <c r="AN202" s="408"/>
      <c r="AO202" s="89"/>
      <c r="AP202" s="29"/>
      <c r="AQ202" s="29"/>
      <c r="AR202" s="408"/>
      <c r="AS202" s="89"/>
      <c r="AT202" s="37">
        <f t="shared" si="8"/>
        <v>1000</v>
      </c>
      <c r="AU202" s="38">
        <f t="shared" si="9"/>
        <v>1000</v>
      </c>
    </row>
    <row r="203" spans="2:47" s="26" customFormat="1" ht="45" x14ac:dyDescent="0.25">
      <c r="B203" s="27">
        <f t="shared" si="11"/>
        <v>188</v>
      </c>
      <c r="C203" s="27" t="s">
        <v>39</v>
      </c>
      <c r="D203" s="28">
        <v>40018170</v>
      </c>
      <c r="E203" s="29" t="s">
        <v>2005</v>
      </c>
      <c r="F203" s="29" t="s">
        <v>54</v>
      </c>
      <c r="G203" s="30" t="s">
        <v>1761</v>
      </c>
      <c r="H203" s="29" t="s">
        <v>1771</v>
      </c>
      <c r="I203" s="29" t="s">
        <v>1763</v>
      </c>
      <c r="J203" s="29">
        <v>867079</v>
      </c>
      <c r="K203" s="29"/>
      <c r="L203" s="29"/>
      <c r="M203" s="31">
        <v>0</v>
      </c>
      <c r="N203" s="31">
        <v>0</v>
      </c>
      <c r="O203" s="31">
        <v>0</v>
      </c>
      <c r="P203" s="31"/>
      <c r="Q203" s="31"/>
      <c r="R203" s="31"/>
      <c r="S203" s="31"/>
      <c r="T203" s="31"/>
      <c r="U203" s="31"/>
      <c r="V203" s="31"/>
      <c r="W203" s="31"/>
      <c r="X203" s="31"/>
      <c r="Y203" s="31">
        <f t="shared" si="10"/>
        <v>0</v>
      </c>
      <c r="Z203" s="29">
        <v>1000</v>
      </c>
      <c r="AA203" s="29">
        <v>1</v>
      </c>
      <c r="AB203" s="408">
        <v>44207</v>
      </c>
      <c r="AC203" s="408">
        <v>44249</v>
      </c>
      <c r="AD203" s="29"/>
      <c r="AE203" s="29"/>
      <c r="AF203" s="408"/>
      <c r="AG203" s="29"/>
      <c r="AH203" s="29"/>
      <c r="AI203" s="29"/>
      <c r="AJ203" s="408"/>
      <c r="AK203" s="29"/>
      <c r="AL203" s="29"/>
      <c r="AM203" s="29"/>
      <c r="AN203" s="408"/>
      <c r="AO203" s="89"/>
      <c r="AP203" s="29"/>
      <c r="AQ203" s="29"/>
      <c r="AR203" s="408"/>
      <c r="AS203" s="89"/>
      <c r="AT203" s="37">
        <f t="shared" si="8"/>
        <v>1000</v>
      </c>
      <c r="AU203" s="38">
        <f t="shared" si="9"/>
        <v>1000</v>
      </c>
    </row>
    <row r="204" spans="2:47" s="26" customFormat="1" ht="22.5" x14ac:dyDescent="0.25">
      <c r="B204" s="27">
        <f t="shared" si="11"/>
        <v>189</v>
      </c>
      <c r="C204" s="27" t="s">
        <v>39</v>
      </c>
      <c r="D204" s="28">
        <v>40018858</v>
      </c>
      <c r="E204" s="29" t="s">
        <v>2006</v>
      </c>
      <c r="F204" s="29" t="s">
        <v>54</v>
      </c>
      <c r="G204" s="30" t="s">
        <v>1761</v>
      </c>
      <c r="H204" s="29" t="s">
        <v>1874</v>
      </c>
      <c r="I204" s="29" t="s">
        <v>1763</v>
      </c>
      <c r="J204" s="29">
        <v>330287</v>
      </c>
      <c r="K204" s="29"/>
      <c r="L204" s="29"/>
      <c r="M204" s="31">
        <v>0</v>
      </c>
      <c r="N204" s="31">
        <v>0</v>
      </c>
      <c r="O204" s="31">
        <v>0</v>
      </c>
      <c r="P204" s="31"/>
      <c r="Q204" s="31"/>
      <c r="R204" s="31"/>
      <c r="S204" s="31"/>
      <c r="T204" s="31"/>
      <c r="U204" s="31"/>
      <c r="V204" s="31"/>
      <c r="W204" s="31"/>
      <c r="X204" s="31"/>
      <c r="Y204" s="31">
        <f t="shared" si="10"/>
        <v>0</v>
      </c>
      <c r="Z204" s="29">
        <v>1000</v>
      </c>
      <c r="AA204" s="29">
        <v>1</v>
      </c>
      <c r="AB204" s="408">
        <v>44207</v>
      </c>
      <c r="AC204" s="408">
        <v>44249</v>
      </c>
      <c r="AD204" s="29"/>
      <c r="AE204" s="29"/>
      <c r="AF204" s="408"/>
      <c r="AG204" s="29"/>
      <c r="AH204" s="29"/>
      <c r="AI204" s="29"/>
      <c r="AJ204" s="408"/>
      <c r="AK204" s="29"/>
      <c r="AL204" s="29"/>
      <c r="AM204" s="29"/>
      <c r="AN204" s="408"/>
      <c r="AO204" s="89"/>
      <c r="AP204" s="29"/>
      <c r="AQ204" s="29"/>
      <c r="AR204" s="408"/>
      <c r="AS204" s="89"/>
      <c r="AT204" s="37">
        <f t="shared" si="8"/>
        <v>1000</v>
      </c>
      <c r="AU204" s="38">
        <f t="shared" si="9"/>
        <v>1000</v>
      </c>
    </row>
    <row r="205" spans="2:47" s="26" customFormat="1" ht="22.5" x14ac:dyDescent="0.25">
      <c r="B205" s="27">
        <f t="shared" si="11"/>
        <v>190</v>
      </c>
      <c r="C205" s="27" t="s">
        <v>39</v>
      </c>
      <c r="D205" s="28">
        <v>40018988</v>
      </c>
      <c r="E205" s="29" t="s">
        <v>2007</v>
      </c>
      <c r="F205" s="29" t="s">
        <v>54</v>
      </c>
      <c r="G205" s="30" t="s">
        <v>1761</v>
      </c>
      <c r="H205" s="29" t="s">
        <v>1798</v>
      </c>
      <c r="I205" s="29" t="s">
        <v>1763</v>
      </c>
      <c r="J205" s="29">
        <v>115030</v>
      </c>
      <c r="K205" s="29"/>
      <c r="L205" s="29"/>
      <c r="M205" s="31">
        <v>0</v>
      </c>
      <c r="N205" s="31">
        <v>0</v>
      </c>
      <c r="O205" s="31">
        <v>0</v>
      </c>
      <c r="P205" s="31"/>
      <c r="Q205" s="31"/>
      <c r="R205" s="31"/>
      <c r="S205" s="31"/>
      <c r="T205" s="31"/>
      <c r="U205" s="31"/>
      <c r="V205" s="31"/>
      <c r="W205" s="31"/>
      <c r="X205" s="31"/>
      <c r="Y205" s="31">
        <f t="shared" si="10"/>
        <v>0</v>
      </c>
      <c r="Z205" s="29">
        <v>1000</v>
      </c>
      <c r="AA205" s="29">
        <v>1</v>
      </c>
      <c r="AB205" s="408">
        <v>44207</v>
      </c>
      <c r="AC205" s="408">
        <v>44249</v>
      </c>
      <c r="AD205" s="29"/>
      <c r="AE205" s="29"/>
      <c r="AF205" s="408"/>
      <c r="AG205" s="29"/>
      <c r="AH205" s="29"/>
      <c r="AI205" s="29"/>
      <c r="AJ205" s="408"/>
      <c r="AK205" s="29"/>
      <c r="AL205" s="29"/>
      <c r="AM205" s="29"/>
      <c r="AN205" s="408"/>
      <c r="AO205" s="89"/>
      <c r="AP205" s="29"/>
      <c r="AQ205" s="29"/>
      <c r="AR205" s="408"/>
      <c r="AS205" s="89"/>
      <c r="AT205" s="37">
        <f t="shared" si="8"/>
        <v>1000</v>
      </c>
      <c r="AU205" s="38">
        <f t="shared" si="9"/>
        <v>1000</v>
      </c>
    </row>
    <row r="206" spans="2:47" s="26" customFormat="1" ht="22.5" x14ac:dyDescent="0.25">
      <c r="B206" s="27">
        <f t="shared" si="11"/>
        <v>191</v>
      </c>
      <c r="C206" s="27" t="s">
        <v>39</v>
      </c>
      <c r="D206" s="28">
        <v>40019091</v>
      </c>
      <c r="E206" s="29" t="s">
        <v>2008</v>
      </c>
      <c r="F206" s="29" t="s">
        <v>54</v>
      </c>
      <c r="G206" s="30" t="s">
        <v>1761</v>
      </c>
      <c r="H206" s="29" t="s">
        <v>1909</v>
      </c>
      <c r="I206" s="29" t="s">
        <v>1763</v>
      </c>
      <c r="J206" s="29">
        <v>182173</v>
      </c>
      <c r="K206" s="29"/>
      <c r="L206" s="29"/>
      <c r="M206" s="31">
        <v>0</v>
      </c>
      <c r="N206" s="31">
        <v>0</v>
      </c>
      <c r="O206" s="31">
        <v>0</v>
      </c>
      <c r="P206" s="31"/>
      <c r="Q206" s="31"/>
      <c r="R206" s="31"/>
      <c r="S206" s="31"/>
      <c r="T206" s="31"/>
      <c r="U206" s="31"/>
      <c r="V206" s="31"/>
      <c r="W206" s="31"/>
      <c r="X206" s="31"/>
      <c r="Y206" s="31">
        <f t="shared" si="10"/>
        <v>0</v>
      </c>
      <c r="Z206" s="29">
        <v>1000</v>
      </c>
      <c r="AA206" s="29">
        <v>1</v>
      </c>
      <c r="AB206" s="408">
        <v>44207</v>
      </c>
      <c r="AC206" s="408">
        <v>44249</v>
      </c>
      <c r="AD206" s="29"/>
      <c r="AE206" s="29"/>
      <c r="AF206" s="408"/>
      <c r="AG206" s="29"/>
      <c r="AH206" s="29"/>
      <c r="AI206" s="29"/>
      <c r="AJ206" s="408"/>
      <c r="AK206" s="29"/>
      <c r="AL206" s="29"/>
      <c r="AM206" s="29"/>
      <c r="AN206" s="408"/>
      <c r="AO206" s="89"/>
      <c r="AP206" s="29"/>
      <c r="AQ206" s="29"/>
      <c r="AR206" s="408"/>
      <c r="AS206" s="89"/>
      <c r="AT206" s="37">
        <f t="shared" si="8"/>
        <v>1000</v>
      </c>
      <c r="AU206" s="38">
        <f t="shared" si="9"/>
        <v>1000</v>
      </c>
    </row>
    <row r="207" spans="2:47" s="26" customFormat="1" ht="33.75" x14ac:dyDescent="0.25">
      <c r="B207" s="27">
        <f t="shared" si="11"/>
        <v>192</v>
      </c>
      <c r="C207" s="27" t="s">
        <v>39</v>
      </c>
      <c r="D207" s="28">
        <v>40019124</v>
      </c>
      <c r="E207" s="29" t="s">
        <v>2009</v>
      </c>
      <c r="F207" s="29" t="s">
        <v>54</v>
      </c>
      <c r="G207" s="30" t="s">
        <v>1761</v>
      </c>
      <c r="H207" s="29" t="s">
        <v>1898</v>
      </c>
      <c r="I207" s="29" t="s">
        <v>1763</v>
      </c>
      <c r="J207" s="29">
        <v>42382</v>
      </c>
      <c r="K207" s="29"/>
      <c r="L207" s="29"/>
      <c r="M207" s="31">
        <v>0</v>
      </c>
      <c r="N207" s="31">
        <v>0</v>
      </c>
      <c r="O207" s="31">
        <v>0</v>
      </c>
      <c r="P207" s="31"/>
      <c r="Q207" s="31"/>
      <c r="R207" s="31"/>
      <c r="S207" s="31"/>
      <c r="T207" s="31"/>
      <c r="U207" s="31"/>
      <c r="V207" s="31"/>
      <c r="W207" s="31"/>
      <c r="X207" s="31"/>
      <c r="Y207" s="31">
        <f t="shared" si="10"/>
        <v>0</v>
      </c>
      <c r="Z207" s="29">
        <v>1000</v>
      </c>
      <c r="AA207" s="29">
        <v>1</v>
      </c>
      <c r="AB207" s="408">
        <v>44207</v>
      </c>
      <c r="AC207" s="408">
        <v>44249</v>
      </c>
      <c r="AD207" s="29"/>
      <c r="AE207" s="29"/>
      <c r="AF207" s="408"/>
      <c r="AG207" s="29"/>
      <c r="AH207" s="29"/>
      <c r="AI207" s="29"/>
      <c r="AJ207" s="408"/>
      <c r="AK207" s="29"/>
      <c r="AL207" s="29"/>
      <c r="AM207" s="29"/>
      <c r="AN207" s="408"/>
      <c r="AO207" s="89"/>
      <c r="AP207" s="29"/>
      <c r="AQ207" s="29"/>
      <c r="AR207" s="408"/>
      <c r="AS207" s="89"/>
      <c r="AT207" s="37">
        <f t="shared" si="8"/>
        <v>1000</v>
      </c>
      <c r="AU207" s="38">
        <f t="shared" si="9"/>
        <v>1000</v>
      </c>
    </row>
    <row r="208" spans="2:47" s="26" customFormat="1" ht="33.75" x14ac:dyDescent="0.25">
      <c r="B208" s="27">
        <f t="shared" si="11"/>
        <v>193</v>
      </c>
      <c r="C208" s="27" t="s">
        <v>39</v>
      </c>
      <c r="D208" s="28">
        <v>40019165</v>
      </c>
      <c r="E208" s="29" t="s">
        <v>2010</v>
      </c>
      <c r="F208" s="29" t="s">
        <v>54</v>
      </c>
      <c r="G208" s="30" t="s">
        <v>1761</v>
      </c>
      <c r="H208" s="29" t="s">
        <v>1909</v>
      </c>
      <c r="I208" s="29" t="s">
        <v>1763</v>
      </c>
      <c r="J208" s="29">
        <v>28722</v>
      </c>
      <c r="K208" s="29"/>
      <c r="L208" s="29"/>
      <c r="M208" s="31">
        <v>0</v>
      </c>
      <c r="N208" s="31">
        <v>0</v>
      </c>
      <c r="O208" s="31">
        <v>0</v>
      </c>
      <c r="P208" s="31"/>
      <c r="Q208" s="31"/>
      <c r="R208" s="31"/>
      <c r="S208" s="31"/>
      <c r="T208" s="31"/>
      <c r="U208" s="31"/>
      <c r="V208" s="31"/>
      <c r="W208" s="31"/>
      <c r="X208" s="31"/>
      <c r="Y208" s="31">
        <f t="shared" si="10"/>
        <v>0</v>
      </c>
      <c r="Z208" s="29">
        <v>1000</v>
      </c>
      <c r="AA208" s="29">
        <v>1</v>
      </c>
      <c r="AB208" s="408">
        <v>44207</v>
      </c>
      <c r="AC208" s="408">
        <v>44249</v>
      </c>
      <c r="AD208" s="29"/>
      <c r="AE208" s="29"/>
      <c r="AF208" s="408"/>
      <c r="AG208" s="29"/>
      <c r="AH208" s="29"/>
      <c r="AI208" s="29"/>
      <c r="AJ208" s="408"/>
      <c r="AK208" s="29"/>
      <c r="AL208" s="29"/>
      <c r="AM208" s="29"/>
      <c r="AN208" s="408"/>
      <c r="AO208" s="89"/>
      <c r="AP208" s="29"/>
      <c r="AQ208" s="29"/>
      <c r="AR208" s="408"/>
      <c r="AS208" s="89"/>
      <c r="AT208" s="37">
        <f t="shared" ref="AT208:AT216" si="12">+Z208+AD208+AH208+AL208+AP208</f>
        <v>1000</v>
      </c>
      <c r="AU208" s="38">
        <f t="shared" ref="AU208:AU216" si="13">+AT208-Y208</f>
        <v>1000</v>
      </c>
    </row>
    <row r="209" spans="2:47" s="26" customFormat="1" ht="22.5" x14ac:dyDescent="0.25">
      <c r="B209" s="27">
        <f t="shared" si="11"/>
        <v>194</v>
      </c>
      <c r="C209" s="27" t="s">
        <v>39</v>
      </c>
      <c r="D209" s="28">
        <v>40019420</v>
      </c>
      <c r="E209" s="29" t="s">
        <v>2011</v>
      </c>
      <c r="F209" s="29" t="s">
        <v>54</v>
      </c>
      <c r="G209" s="30" t="s">
        <v>1761</v>
      </c>
      <c r="H209" s="29" t="s">
        <v>1915</v>
      </c>
      <c r="I209" s="29" t="s">
        <v>1763</v>
      </c>
      <c r="J209" s="29">
        <v>61350</v>
      </c>
      <c r="K209" s="29"/>
      <c r="L209" s="29"/>
      <c r="M209" s="31">
        <v>0</v>
      </c>
      <c r="N209" s="31">
        <v>0</v>
      </c>
      <c r="O209" s="31">
        <v>0</v>
      </c>
      <c r="P209" s="31"/>
      <c r="Q209" s="31"/>
      <c r="R209" s="31"/>
      <c r="S209" s="31"/>
      <c r="T209" s="31"/>
      <c r="U209" s="31"/>
      <c r="V209" s="31"/>
      <c r="W209" s="31"/>
      <c r="X209" s="31"/>
      <c r="Y209" s="31">
        <f t="shared" ref="Y209:Y216" si="14">SUM(M209:X209)</f>
        <v>0</v>
      </c>
      <c r="Z209" s="29">
        <v>1000</v>
      </c>
      <c r="AA209" s="29">
        <v>1</v>
      </c>
      <c r="AB209" s="408">
        <v>44207</v>
      </c>
      <c r="AC209" s="408">
        <v>44249</v>
      </c>
      <c r="AD209" s="29"/>
      <c r="AE209" s="29"/>
      <c r="AF209" s="408"/>
      <c r="AG209" s="29"/>
      <c r="AH209" s="29"/>
      <c r="AI209" s="29"/>
      <c r="AJ209" s="408"/>
      <c r="AK209" s="29"/>
      <c r="AL209" s="29"/>
      <c r="AM209" s="29"/>
      <c r="AN209" s="408"/>
      <c r="AO209" s="89"/>
      <c r="AP209" s="29"/>
      <c r="AQ209" s="29"/>
      <c r="AR209" s="408"/>
      <c r="AS209" s="89"/>
      <c r="AT209" s="37">
        <f t="shared" si="12"/>
        <v>1000</v>
      </c>
      <c r="AU209" s="38">
        <f t="shared" si="13"/>
        <v>1000</v>
      </c>
    </row>
    <row r="210" spans="2:47" s="26" customFormat="1" ht="22.5" x14ac:dyDescent="0.25">
      <c r="B210" s="27">
        <f t="shared" si="11"/>
        <v>195</v>
      </c>
      <c r="C210" s="27" t="s">
        <v>39</v>
      </c>
      <c r="D210" s="28">
        <v>40019421</v>
      </c>
      <c r="E210" s="29" t="s">
        <v>2012</v>
      </c>
      <c r="F210" s="29" t="s">
        <v>54</v>
      </c>
      <c r="G210" s="30" t="s">
        <v>1761</v>
      </c>
      <c r="H210" s="29" t="s">
        <v>1915</v>
      </c>
      <c r="I210" s="29" t="s">
        <v>1763</v>
      </c>
      <c r="J210" s="29">
        <v>61350</v>
      </c>
      <c r="K210" s="29"/>
      <c r="L210" s="29"/>
      <c r="M210" s="31">
        <v>0</v>
      </c>
      <c r="N210" s="31">
        <v>0</v>
      </c>
      <c r="O210" s="31">
        <v>0</v>
      </c>
      <c r="P210" s="31"/>
      <c r="Q210" s="31"/>
      <c r="R210" s="31"/>
      <c r="S210" s="31"/>
      <c r="T210" s="31"/>
      <c r="U210" s="31"/>
      <c r="V210" s="31"/>
      <c r="W210" s="31"/>
      <c r="X210" s="31"/>
      <c r="Y210" s="31">
        <f t="shared" si="14"/>
        <v>0</v>
      </c>
      <c r="Z210" s="29">
        <v>1000</v>
      </c>
      <c r="AA210" s="29">
        <v>1</v>
      </c>
      <c r="AB210" s="408">
        <v>44207</v>
      </c>
      <c r="AC210" s="408">
        <v>44249</v>
      </c>
      <c r="AD210" s="29"/>
      <c r="AE210" s="29"/>
      <c r="AF210" s="408"/>
      <c r="AG210" s="29"/>
      <c r="AH210" s="29"/>
      <c r="AI210" s="29"/>
      <c r="AJ210" s="408"/>
      <c r="AK210" s="29"/>
      <c r="AL210" s="29"/>
      <c r="AM210" s="29"/>
      <c r="AN210" s="408"/>
      <c r="AO210" s="89"/>
      <c r="AP210" s="29"/>
      <c r="AQ210" s="29"/>
      <c r="AR210" s="408"/>
      <c r="AS210" s="89"/>
      <c r="AT210" s="37">
        <f t="shared" si="12"/>
        <v>1000</v>
      </c>
      <c r="AU210" s="38">
        <f t="shared" si="13"/>
        <v>1000</v>
      </c>
    </row>
    <row r="211" spans="2:47" s="26" customFormat="1" ht="22.5" x14ac:dyDescent="0.25">
      <c r="B211" s="27">
        <f t="shared" si="11"/>
        <v>196</v>
      </c>
      <c r="C211" s="27" t="s">
        <v>39</v>
      </c>
      <c r="D211" s="28">
        <v>40019583</v>
      </c>
      <c r="E211" s="29" t="s">
        <v>2013</v>
      </c>
      <c r="F211" s="29" t="s">
        <v>54</v>
      </c>
      <c r="G211" s="30" t="s">
        <v>1761</v>
      </c>
      <c r="H211" s="29" t="s">
        <v>1915</v>
      </c>
      <c r="I211" s="29" t="s">
        <v>1763</v>
      </c>
      <c r="J211" s="29">
        <v>98882</v>
      </c>
      <c r="K211" s="29"/>
      <c r="L211" s="29"/>
      <c r="M211" s="31">
        <v>0</v>
      </c>
      <c r="N211" s="31">
        <v>0</v>
      </c>
      <c r="O211" s="31">
        <v>0</v>
      </c>
      <c r="P211" s="31"/>
      <c r="Q211" s="31"/>
      <c r="R211" s="31"/>
      <c r="S211" s="31"/>
      <c r="T211" s="31"/>
      <c r="U211" s="31"/>
      <c r="V211" s="31"/>
      <c r="W211" s="31"/>
      <c r="X211" s="31"/>
      <c r="Y211" s="31">
        <f t="shared" si="14"/>
        <v>0</v>
      </c>
      <c r="Z211" s="29">
        <v>1000</v>
      </c>
      <c r="AA211" s="29">
        <v>1</v>
      </c>
      <c r="AB211" s="408">
        <v>44207</v>
      </c>
      <c r="AC211" s="408">
        <v>44249</v>
      </c>
      <c r="AD211" s="29"/>
      <c r="AE211" s="29"/>
      <c r="AF211" s="408"/>
      <c r="AG211" s="29"/>
      <c r="AH211" s="29"/>
      <c r="AI211" s="29"/>
      <c r="AJ211" s="408"/>
      <c r="AK211" s="29"/>
      <c r="AL211" s="29"/>
      <c r="AM211" s="29"/>
      <c r="AN211" s="408"/>
      <c r="AO211" s="89"/>
      <c r="AP211" s="29"/>
      <c r="AQ211" s="29"/>
      <c r="AR211" s="408"/>
      <c r="AS211" s="89"/>
      <c r="AT211" s="37">
        <f t="shared" si="12"/>
        <v>1000</v>
      </c>
      <c r="AU211" s="38">
        <f t="shared" si="13"/>
        <v>1000</v>
      </c>
    </row>
    <row r="212" spans="2:47" s="26" customFormat="1" ht="22.5" x14ac:dyDescent="0.25">
      <c r="B212" s="27">
        <f t="shared" si="11"/>
        <v>197</v>
      </c>
      <c r="C212" s="27" t="s">
        <v>39</v>
      </c>
      <c r="D212" s="28">
        <v>40019584</v>
      </c>
      <c r="E212" s="29" t="s">
        <v>2014</v>
      </c>
      <c r="F212" s="29" t="s">
        <v>54</v>
      </c>
      <c r="G212" s="30" t="s">
        <v>1761</v>
      </c>
      <c r="H212" s="29" t="s">
        <v>1915</v>
      </c>
      <c r="I212" s="29" t="s">
        <v>1763</v>
      </c>
      <c r="J212" s="29">
        <v>98882</v>
      </c>
      <c r="K212" s="29"/>
      <c r="L212" s="29"/>
      <c r="M212" s="31">
        <v>0</v>
      </c>
      <c r="N212" s="31">
        <v>0</v>
      </c>
      <c r="O212" s="31">
        <v>0</v>
      </c>
      <c r="P212" s="31"/>
      <c r="Q212" s="31"/>
      <c r="R212" s="31"/>
      <c r="S212" s="31"/>
      <c r="T212" s="31"/>
      <c r="U212" s="31"/>
      <c r="V212" s="31"/>
      <c r="W212" s="31"/>
      <c r="X212" s="31"/>
      <c r="Y212" s="31">
        <f t="shared" si="14"/>
        <v>0</v>
      </c>
      <c r="Z212" s="29">
        <v>1000</v>
      </c>
      <c r="AA212" s="29">
        <v>1</v>
      </c>
      <c r="AB212" s="408">
        <v>44207</v>
      </c>
      <c r="AC212" s="408">
        <v>44249</v>
      </c>
      <c r="AD212" s="29"/>
      <c r="AE212" s="29"/>
      <c r="AF212" s="408"/>
      <c r="AG212" s="29"/>
      <c r="AH212" s="29"/>
      <c r="AI212" s="29"/>
      <c r="AJ212" s="408"/>
      <c r="AK212" s="29"/>
      <c r="AL212" s="29"/>
      <c r="AM212" s="29"/>
      <c r="AN212" s="408"/>
      <c r="AO212" s="89"/>
      <c r="AP212" s="29"/>
      <c r="AQ212" s="29"/>
      <c r="AR212" s="408"/>
      <c r="AS212" s="89"/>
      <c r="AT212" s="37">
        <f t="shared" si="12"/>
        <v>1000</v>
      </c>
      <c r="AU212" s="38">
        <f t="shared" si="13"/>
        <v>1000</v>
      </c>
    </row>
    <row r="213" spans="2:47" s="26" customFormat="1" ht="22.5" x14ac:dyDescent="0.25">
      <c r="B213" s="27">
        <f t="shared" si="11"/>
        <v>198</v>
      </c>
      <c r="C213" s="27" t="s">
        <v>39</v>
      </c>
      <c r="D213" s="28">
        <v>40019585</v>
      </c>
      <c r="E213" s="29" t="s">
        <v>2015</v>
      </c>
      <c r="F213" s="29" t="s">
        <v>54</v>
      </c>
      <c r="G213" s="30" t="s">
        <v>1761</v>
      </c>
      <c r="H213" s="29" t="s">
        <v>1915</v>
      </c>
      <c r="I213" s="29" t="s">
        <v>1763</v>
      </c>
      <c r="J213" s="29">
        <v>98882</v>
      </c>
      <c r="K213" s="29"/>
      <c r="L213" s="29"/>
      <c r="M213" s="31">
        <v>0</v>
      </c>
      <c r="N213" s="31">
        <v>0</v>
      </c>
      <c r="O213" s="31">
        <v>0</v>
      </c>
      <c r="P213" s="31"/>
      <c r="Q213" s="31"/>
      <c r="R213" s="31"/>
      <c r="S213" s="31"/>
      <c r="T213" s="31"/>
      <c r="U213" s="31"/>
      <c r="V213" s="31"/>
      <c r="W213" s="31"/>
      <c r="X213" s="31"/>
      <c r="Y213" s="31">
        <f t="shared" si="14"/>
        <v>0</v>
      </c>
      <c r="Z213" s="29">
        <v>1000</v>
      </c>
      <c r="AA213" s="29">
        <v>1</v>
      </c>
      <c r="AB213" s="408">
        <v>44207</v>
      </c>
      <c r="AC213" s="408">
        <v>44249</v>
      </c>
      <c r="AD213" s="29"/>
      <c r="AE213" s="29"/>
      <c r="AF213" s="408"/>
      <c r="AG213" s="29"/>
      <c r="AH213" s="29"/>
      <c r="AI213" s="29"/>
      <c r="AJ213" s="408"/>
      <c r="AK213" s="29"/>
      <c r="AL213" s="29"/>
      <c r="AM213" s="29"/>
      <c r="AN213" s="408"/>
      <c r="AO213" s="89"/>
      <c r="AP213" s="29"/>
      <c r="AQ213" s="29"/>
      <c r="AR213" s="408"/>
      <c r="AS213" s="89"/>
      <c r="AT213" s="37">
        <f t="shared" si="12"/>
        <v>1000</v>
      </c>
      <c r="AU213" s="38">
        <f t="shared" si="13"/>
        <v>1000</v>
      </c>
    </row>
    <row r="214" spans="2:47" s="26" customFormat="1" ht="22.5" x14ac:dyDescent="0.25">
      <c r="B214" s="27">
        <f t="shared" si="11"/>
        <v>199</v>
      </c>
      <c r="C214" s="27" t="s">
        <v>39</v>
      </c>
      <c r="D214" s="28">
        <v>40019686</v>
      </c>
      <c r="E214" s="29" t="s">
        <v>2016</v>
      </c>
      <c r="F214" s="29" t="s">
        <v>60</v>
      </c>
      <c r="G214" s="30" t="s">
        <v>1761</v>
      </c>
      <c r="H214" s="29" t="s">
        <v>1888</v>
      </c>
      <c r="I214" s="29" t="s">
        <v>1808</v>
      </c>
      <c r="J214" s="29">
        <v>221379</v>
      </c>
      <c r="K214" s="29"/>
      <c r="L214" s="29"/>
      <c r="M214" s="31">
        <v>0</v>
      </c>
      <c r="N214" s="31">
        <v>0</v>
      </c>
      <c r="O214" s="31">
        <v>0</v>
      </c>
      <c r="P214" s="31"/>
      <c r="Q214" s="31"/>
      <c r="R214" s="31"/>
      <c r="S214" s="31"/>
      <c r="T214" s="31"/>
      <c r="U214" s="31"/>
      <c r="V214" s="31"/>
      <c r="W214" s="31"/>
      <c r="X214" s="31"/>
      <c r="Y214" s="31">
        <f t="shared" si="14"/>
        <v>0</v>
      </c>
      <c r="Z214" s="29">
        <v>1000</v>
      </c>
      <c r="AA214" s="29">
        <v>1</v>
      </c>
      <c r="AB214" s="408">
        <v>44207</v>
      </c>
      <c r="AC214" s="408">
        <v>44249</v>
      </c>
      <c r="AD214" s="29"/>
      <c r="AE214" s="29"/>
      <c r="AF214" s="408"/>
      <c r="AG214" s="29"/>
      <c r="AH214" s="29"/>
      <c r="AI214" s="29"/>
      <c r="AJ214" s="408"/>
      <c r="AK214" s="29"/>
      <c r="AL214" s="29"/>
      <c r="AM214" s="29"/>
      <c r="AN214" s="408"/>
      <c r="AO214" s="89"/>
      <c r="AP214" s="29"/>
      <c r="AQ214" s="29"/>
      <c r="AR214" s="408"/>
      <c r="AS214" s="89"/>
      <c r="AT214" s="37">
        <f t="shared" si="12"/>
        <v>1000</v>
      </c>
      <c r="AU214" s="38">
        <f t="shared" si="13"/>
        <v>1000</v>
      </c>
    </row>
    <row r="215" spans="2:47" s="26" customFormat="1" ht="22.5" x14ac:dyDescent="0.25">
      <c r="B215" s="27">
        <f t="shared" si="11"/>
        <v>200</v>
      </c>
      <c r="C215" s="27" t="s">
        <v>39</v>
      </c>
      <c r="D215" s="28">
        <v>40019997</v>
      </c>
      <c r="E215" s="29" t="s">
        <v>2017</v>
      </c>
      <c r="F215" s="29" t="s">
        <v>54</v>
      </c>
      <c r="G215" s="30" t="s">
        <v>1761</v>
      </c>
      <c r="H215" s="29" t="s">
        <v>1921</v>
      </c>
      <c r="I215" s="29" t="s">
        <v>1763</v>
      </c>
      <c r="J215" s="29">
        <v>1447521</v>
      </c>
      <c r="K215" s="29"/>
      <c r="L215" s="29"/>
      <c r="M215" s="31">
        <v>0</v>
      </c>
      <c r="N215" s="31">
        <v>0</v>
      </c>
      <c r="O215" s="31">
        <v>0</v>
      </c>
      <c r="P215" s="31"/>
      <c r="Q215" s="31"/>
      <c r="R215" s="31"/>
      <c r="S215" s="31"/>
      <c r="T215" s="31"/>
      <c r="U215" s="31"/>
      <c r="V215" s="31"/>
      <c r="W215" s="31"/>
      <c r="X215" s="31"/>
      <c r="Y215" s="31">
        <f t="shared" si="14"/>
        <v>0</v>
      </c>
      <c r="Z215" s="29">
        <v>1000</v>
      </c>
      <c r="AA215" s="29">
        <v>1</v>
      </c>
      <c r="AB215" s="408">
        <v>44207</v>
      </c>
      <c r="AC215" s="408">
        <v>44249</v>
      </c>
      <c r="AD215" s="29"/>
      <c r="AE215" s="29"/>
      <c r="AF215" s="408"/>
      <c r="AG215" s="29"/>
      <c r="AH215" s="29"/>
      <c r="AI215" s="29"/>
      <c r="AJ215" s="408"/>
      <c r="AK215" s="29"/>
      <c r="AL215" s="29"/>
      <c r="AM215" s="29"/>
      <c r="AN215" s="408"/>
      <c r="AO215" s="89"/>
      <c r="AP215" s="29"/>
      <c r="AQ215" s="29"/>
      <c r="AR215" s="408"/>
      <c r="AS215" s="89"/>
      <c r="AT215" s="37">
        <f t="shared" si="12"/>
        <v>1000</v>
      </c>
      <c r="AU215" s="38">
        <f t="shared" si="13"/>
        <v>1000</v>
      </c>
    </row>
    <row r="216" spans="2:47" s="26" customFormat="1" ht="22.5" x14ac:dyDescent="0.25">
      <c r="B216" s="27">
        <f t="shared" si="11"/>
        <v>201</v>
      </c>
      <c r="C216" s="27" t="s">
        <v>39</v>
      </c>
      <c r="D216" s="28">
        <v>40020766</v>
      </c>
      <c r="E216" s="29" t="s">
        <v>2018</v>
      </c>
      <c r="F216" s="29" t="s">
        <v>54</v>
      </c>
      <c r="G216" s="30" t="s">
        <v>1761</v>
      </c>
      <c r="H216" s="29" t="s">
        <v>1915</v>
      </c>
      <c r="I216" s="29" t="s">
        <v>1763</v>
      </c>
      <c r="J216" s="29">
        <v>61350</v>
      </c>
      <c r="K216" s="29"/>
      <c r="L216" s="29"/>
      <c r="M216" s="31">
        <v>0</v>
      </c>
      <c r="N216" s="31">
        <v>0</v>
      </c>
      <c r="O216" s="31">
        <v>0</v>
      </c>
      <c r="P216" s="31"/>
      <c r="Q216" s="31"/>
      <c r="R216" s="31"/>
      <c r="S216" s="31"/>
      <c r="T216" s="31"/>
      <c r="U216" s="31"/>
      <c r="V216" s="31"/>
      <c r="W216" s="31"/>
      <c r="X216" s="31"/>
      <c r="Y216" s="31">
        <f t="shared" si="14"/>
        <v>0</v>
      </c>
      <c r="Z216" s="29">
        <v>1000</v>
      </c>
      <c r="AA216" s="29">
        <v>1</v>
      </c>
      <c r="AB216" s="408">
        <v>44207</v>
      </c>
      <c r="AC216" s="408">
        <v>44249</v>
      </c>
      <c r="AD216" s="29"/>
      <c r="AE216" s="29"/>
      <c r="AF216" s="408"/>
      <c r="AG216" s="29"/>
      <c r="AH216" s="29"/>
      <c r="AI216" s="29"/>
      <c r="AJ216" s="408"/>
      <c r="AK216" s="29"/>
      <c r="AL216" s="29"/>
      <c r="AM216" s="29"/>
      <c r="AN216" s="408"/>
      <c r="AO216" s="89"/>
      <c r="AP216" s="29"/>
      <c r="AQ216" s="29"/>
      <c r="AR216" s="408"/>
      <c r="AS216" s="89"/>
      <c r="AT216" s="37">
        <f t="shared" si="12"/>
        <v>1000</v>
      </c>
      <c r="AU216" s="38">
        <f t="shared" si="13"/>
        <v>1000</v>
      </c>
    </row>
    <row r="217" spans="2:47" s="26" customFormat="1" x14ac:dyDescent="0.25">
      <c r="B217" s="27"/>
      <c r="C217" s="27"/>
      <c r="D217" s="28"/>
      <c r="E217" s="29"/>
      <c r="F217" s="29"/>
      <c r="G217" s="30"/>
      <c r="H217" s="29"/>
      <c r="I217" s="29"/>
      <c r="J217" s="29"/>
      <c r="K217" s="29"/>
      <c r="L217" s="29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29"/>
      <c r="AA217" s="29"/>
      <c r="AB217" s="408"/>
      <c r="AC217" s="29"/>
      <c r="AD217" s="29"/>
      <c r="AE217" s="29"/>
      <c r="AF217" s="408"/>
      <c r="AG217" s="29"/>
      <c r="AH217" s="29"/>
      <c r="AI217" s="29"/>
      <c r="AJ217" s="408"/>
      <c r="AK217" s="29"/>
      <c r="AL217" s="29"/>
      <c r="AM217" s="29"/>
      <c r="AN217" s="408"/>
      <c r="AO217" s="89"/>
      <c r="AP217" s="29"/>
      <c r="AQ217" s="29"/>
      <c r="AR217" s="408"/>
      <c r="AS217" s="89"/>
      <c r="AT217" s="37"/>
      <c r="AU217" s="38"/>
    </row>
    <row r="218" spans="2:47" s="26" customFormat="1" x14ac:dyDescent="0.25">
      <c r="B218" s="215"/>
      <c r="C218" s="241"/>
      <c r="D218" s="409"/>
      <c r="E218" s="314"/>
      <c r="F218" s="314"/>
      <c r="G218" s="244"/>
      <c r="H218" s="245"/>
      <c r="I218" s="410"/>
      <c r="J218" s="410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2"/>
      <c r="AA218" s="33"/>
      <c r="AB218" s="36"/>
      <c r="AC218" s="89"/>
      <c r="AD218" s="32"/>
      <c r="AE218" s="35"/>
      <c r="AF218" s="36"/>
      <c r="AG218" s="89"/>
      <c r="AH218" s="32"/>
      <c r="AI218" s="33"/>
      <c r="AJ218" s="36"/>
      <c r="AK218" s="89"/>
      <c r="AL218" s="32"/>
      <c r="AM218" s="33"/>
      <c r="AN218" s="36"/>
      <c r="AO218" s="89"/>
      <c r="AP218" s="32"/>
      <c r="AQ218" s="33"/>
      <c r="AR218" s="36"/>
      <c r="AS218" s="89"/>
      <c r="AT218" s="37"/>
      <c r="AU218" s="38"/>
    </row>
    <row r="219" spans="2:47" ht="15" customHeight="1" x14ac:dyDescent="0.25">
      <c r="B219" s="534" t="s">
        <v>40</v>
      </c>
      <c r="C219" s="535"/>
      <c r="D219" s="535"/>
      <c r="E219" s="535"/>
      <c r="F219" s="535"/>
      <c r="G219" s="535"/>
      <c r="H219" s="535"/>
      <c r="I219" s="536"/>
      <c r="J219" s="393"/>
      <c r="K219" s="48">
        <f>SUBTOTAL(9,K16:K41)</f>
        <v>0</v>
      </c>
      <c r="L219" s="48">
        <f t="shared" ref="L219" si="15">SUBTOTAL(9,L16:L41)</f>
        <v>0</v>
      </c>
      <c r="M219" s="48">
        <f t="shared" ref="M219:Z219" si="16">SUBTOTAL(9,M16:M218)</f>
        <v>5424676.1430000011</v>
      </c>
      <c r="N219" s="48">
        <f t="shared" si="16"/>
        <v>1969555.281</v>
      </c>
      <c r="O219" s="48">
        <f t="shared" si="16"/>
        <v>2724186.1690000007</v>
      </c>
      <c r="P219" s="48">
        <f t="shared" si="16"/>
        <v>0</v>
      </c>
      <c r="Q219" s="48">
        <f t="shared" si="16"/>
        <v>0</v>
      </c>
      <c r="R219" s="48">
        <f t="shared" si="16"/>
        <v>0</v>
      </c>
      <c r="S219" s="48">
        <f t="shared" si="16"/>
        <v>0</v>
      </c>
      <c r="T219" s="48">
        <f t="shared" si="16"/>
        <v>0</v>
      </c>
      <c r="U219" s="48">
        <f t="shared" si="16"/>
        <v>0</v>
      </c>
      <c r="V219" s="48">
        <f t="shared" si="16"/>
        <v>0</v>
      </c>
      <c r="W219" s="48">
        <f t="shared" si="16"/>
        <v>0</v>
      </c>
      <c r="X219" s="48">
        <f t="shared" si="16"/>
        <v>0</v>
      </c>
      <c r="Y219" s="48">
        <f t="shared" si="16"/>
        <v>10118417.592999998</v>
      </c>
      <c r="Z219" s="48">
        <f t="shared" si="16"/>
        <v>13929869</v>
      </c>
      <c r="AA219" s="48">
        <f>COUNT(AA16:AA218)</f>
        <v>201</v>
      </c>
      <c r="AB219" s="48"/>
      <c r="AC219" s="48"/>
      <c r="AD219" s="48">
        <f>SUBTOTAL(9,AD16:AD218)</f>
        <v>4226098</v>
      </c>
      <c r="AE219" s="48">
        <f>COUNT(AE16:AE218)</f>
        <v>12</v>
      </c>
      <c r="AF219" s="48"/>
      <c r="AG219" s="48"/>
      <c r="AH219" s="48">
        <f>SUBTOTAL(9,AH16:AH218)</f>
        <v>0</v>
      </c>
      <c r="AI219" s="48">
        <f>COUNT(AI16:AI218)</f>
        <v>0</v>
      </c>
      <c r="AJ219" s="48"/>
      <c r="AK219" s="48"/>
      <c r="AL219" s="48">
        <f>SUBTOTAL(9,AL16:AL218)</f>
        <v>0</v>
      </c>
      <c r="AM219" s="48">
        <f>COUNT(AM16:AM218)</f>
        <v>0</v>
      </c>
      <c r="AN219" s="48"/>
      <c r="AO219" s="48"/>
      <c r="AP219" s="48">
        <f>SUBTOTAL(9,AP16:AP218)</f>
        <v>0</v>
      </c>
      <c r="AQ219" s="48">
        <f>COUNT(AQ16:AQ218)</f>
        <v>0</v>
      </c>
      <c r="AR219" s="48"/>
      <c r="AS219" s="48"/>
      <c r="AT219" s="48">
        <f>SUBTOTAL(9,AT16:AT218)</f>
        <v>18155967</v>
      </c>
      <c r="AU219" s="48">
        <f>SUBTOTAL(9,AU16:AU218)</f>
        <v>8037549.4069999987</v>
      </c>
    </row>
    <row r="220" spans="2:47" ht="20.25" customHeight="1" x14ac:dyDescent="0.2">
      <c r="B220" s="537"/>
      <c r="C220" s="537"/>
      <c r="D220" s="537"/>
      <c r="E220" s="537"/>
      <c r="F220" s="44"/>
      <c r="G220" s="16"/>
      <c r="H220" s="16"/>
    </row>
    <row r="221" spans="2:47" x14ac:dyDescent="0.2">
      <c r="B221" s="538" t="s">
        <v>2019</v>
      </c>
      <c r="C221" s="538"/>
      <c r="D221" s="538"/>
      <c r="E221" s="538"/>
      <c r="F221" s="538"/>
      <c r="G221" s="538"/>
      <c r="H221" s="538"/>
      <c r="I221" s="538"/>
      <c r="J221" s="538"/>
      <c r="K221" s="538"/>
      <c r="L221" s="538"/>
      <c r="M221" s="538"/>
      <c r="N221" s="538"/>
      <c r="O221" s="538"/>
      <c r="P221" s="538"/>
      <c r="Q221" s="538"/>
      <c r="R221" s="538"/>
      <c r="S221" s="538"/>
      <c r="T221" s="538"/>
      <c r="U221" s="538"/>
      <c r="V221" s="538"/>
      <c r="W221" s="538"/>
      <c r="X221" s="538"/>
      <c r="Y221" s="538"/>
      <c r="Z221" s="538"/>
      <c r="AA221" s="538"/>
      <c r="AB221" s="538"/>
      <c r="AC221" s="538"/>
      <c r="AD221" s="45"/>
      <c r="AE221" s="46"/>
      <c r="AF221" s="45"/>
      <c r="AG221" s="45"/>
      <c r="AH221" s="45"/>
      <c r="AI221" s="47"/>
      <c r="AJ221" s="45"/>
      <c r="AK221" s="45"/>
      <c r="AL221" s="45"/>
      <c r="AM221" s="47"/>
      <c r="AN221" s="45"/>
      <c r="AO221" s="45"/>
      <c r="AP221" s="45"/>
      <c r="AQ221" s="47"/>
      <c r="AR221" s="45"/>
      <c r="AS221" s="45"/>
    </row>
    <row r="228" spans="26:30" x14ac:dyDescent="0.2">
      <c r="Z228" s="8"/>
      <c r="AA228" s="8"/>
      <c r="AB228" s="8"/>
      <c r="AD228" s="8"/>
    </row>
    <row r="229" spans="26:30" x14ac:dyDescent="0.2">
      <c r="Z229" s="8"/>
      <c r="AA229" s="8"/>
      <c r="AB229" s="8"/>
    </row>
  </sheetData>
  <autoFilter ref="B15:AU217"/>
  <mergeCells count="16">
    <mergeCell ref="AT14:AU14"/>
    <mergeCell ref="B219:I219"/>
    <mergeCell ref="B220:E220"/>
    <mergeCell ref="B221:AC221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16:D37">
    <cfRule type="duplicateValues" dxfId="14" priority="1"/>
  </conditionalFormatting>
  <conditionalFormatting sqref="D16:D37">
    <cfRule type="duplicateValues" dxfId="13" priority="2"/>
  </conditionalFormatting>
  <conditionalFormatting sqref="D38:D42">
    <cfRule type="duplicateValues" dxfId="12" priority="3"/>
  </conditionalFormatting>
  <conditionalFormatting sqref="D43:D217">
    <cfRule type="duplicateValues" dxfId="11" priority="4"/>
  </conditionalFormatting>
  <conditionalFormatting sqref="D218">
    <cfRule type="duplicateValues" dxfId="10" priority="5"/>
  </conditionalFormatting>
  <pageMargins left="0.7" right="0.7" top="0.75" bottom="0.75" header="0.3" footer="0.3"/>
  <pageSetup scale="3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U135"/>
  <sheetViews>
    <sheetView showGridLines="0" topLeftCell="A12" zoomScaleNormal="100" workbookViewId="0">
      <pane ySplit="4" topLeftCell="A58" activePane="bottomLeft" state="frozen"/>
      <selection activeCell="B12" sqref="B12"/>
      <selection pane="bottomLeft" activeCell="AB146" sqref="AB146"/>
    </sheetView>
  </sheetViews>
  <sheetFormatPr baseColWidth="10" defaultRowHeight="11.25" x14ac:dyDescent="0.2"/>
  <cols>
    <col min="1" max="1" width="5" style="4" customWidth="1"/>
    <col min="2" max="2" width="10.7109375" style="16" customWidth="1"/>
    <col min="3" max="3" width="10.85546875" style="4" customWidth="1"/>
    <col min="4" max="4" width="11.42578125" style="16" customWidth="1"/>
    <col min="5" max="5" width="37" style="4" customWidth="1"/>
    <col min="6" max="6" width="13.140625" style="4" customWidth="1"/>
    <col min="7" max="7" width="11.28515625" style="4" customWidth="1"/>
    <col min="8" max="8" width="18.85546875" style="4" customWidth="1"/>
    <col min="9" max="10" width="9.7109375" style="4" customWidth="1"/>
    <col min="11" max="25" width="12" style="4" customWidth="1"/>
    <col min="26" max="26" width="13.42578125" style="4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100"/>
      <c r="AE1" s="2"/>
      <c r="AF1" s="100"/>
      <c r="AG1" s="100"/>
      <c r="AH1" s="100"/>
      <c r="AI1" s="3"/>
      <c r="AJ1" s="100"/>
      <c r="AK1" s="100"/>
      <c r="AL1" s="100"/>
      <c r="AM1" s="3"/>
      <c r="AN1" s="100"/>
      <c r="AO1" s="100"/>
      <c r="AP1" s="100"/>
      <c r="AQ1" s="3"/>
      <c r="AR1" s="100"/>
      <c r="AS1" s="100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100"/>
      <c r="AE2" s="2"/>
      <c r="AF2" s="100"/>
      <c r="AG2" s="100"/>
      <c r="AH2" s="100"/>
      <c r="AI2" s="3"/>
      <c r="AJ2" s="100"/>
      <c r="AK2" s="100"/>
      <c r="AL2" s="100"/>
      <c r="AM2" s="3"/>
      <c r="AN2" s="100"/>
      <c r="AO2" s="100"/>
      <c r="AP2" s="100"/>
      <c r="AQ2" s="3"/>
      <c r="AR2" s="100"/>
      <c r="AS2" s="100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99"/>
      <c r="AE3" s="6"/>
      <c r="AF3" s="99"/>
      <c r="AG3" s="99"/>
      <c r="AH3" s="99"/>
      <c r="AI3" s="7"/>
      <c r="AJ3" s="99"/>
      <c r="AK3" s="99"/>
      <c r="AL3" s="99"/>
      <c r="AM3" s="7"/>
      <c r="AN3" s="99"/>
      <c r="AO3" s="99"/>
      <c r="AP3" s="99"/>
      <c r="AQ3" s="7"/>
      <c r="AR3" s="99"/>
      <c r="AS3" s="99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99"/>
      <c r="AE4" s="6"/>
      <c r="AF4" s="99"/>
      <c r="AG4" s="99"/>
      <c r="AH4" s="99"/>
      <c r="AI4" s="7"/>
      <c r="AJ4" s="99"/>
      <c r="AK4" s="99"/>
      <c r="AL4" s="99"/>
      <c r="AM4" s="7"/>
      <c r="AN4" s="99"/>
      <c r="AO4" s="99"/>
      <c r="AP4" s="99"/>
      <c r="AQ4" s="7"/>
      <c r="AR4" s="99"/>
      <c r="AS4" s="99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99"/>
      <c r="AE5" s="6"/>
      <c r="AF5" s="99"/>
      <c r="AG5" s="99"/>
      <c r="AH5" s="99"/>
      <c r="AI5" s="7"/>
      <c r="AJ5" s="99"/>
      <c r="AK5" s="99"/>
      <c r="AL5" s="99"/>
      <c r="AM5" s="7"/>
      <c r="AN5" s="99"/>
      <c r="AO5" s="99"/>
      <c r="AP5" s="99"/>
      <c r="AQ5" s="7"/>
      <c r="AR5" s="99"/>
      <c r="AS5" s="99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99"/>
      <c r="AE6" s="6"/>
      <c r="AF6" s="99"/>
      <c r="AG6" s="99"/>
      <c r="AH6" s="99"/>
      <c r="AI6" s="7"/>
      <c r="AJ6" s="99"/>
      <c r="AK6" s="99"/>
      <c r="AL6" s="99"/>
      <c r="AM6" s="7"/>
      <c r="AN6" s="99"/>
      <c r="AO6" s="99"/>
      <c r="AP6" s="99"/>
      <c r="AQ6" s="7"/>
      <c r="AR6" s="99"/>
      <c r="AS6" s="99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99"/>
      <c r="AE7" s="6"/>
      <c r="AF7" s="99"/>
      <c r="AG7" s="99"/>
      <c r="AH7" s="99"/>
      <c r="AI7" s="7"/>
      <c r="AJ7" s="99"/>
      <c r="AK7" s="99"/>
      <c r="AL7" s="99"/>
      <c r="AM7" s="7"/>
      <c r="AN7" s="99"/>
      <c r="AO7" s="99"/>
      <c r="AP7" s="99"/>
      <c r="AQ7" s="7"/>
      <c r="AR7" s="99"/>
      <c r="AS7" s="99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99"/>
      <c r="AE8" s="6"/>
      <c r="AF8" s="99"/>
      <c r="AG8" s="99"/>
      <c r="AH8" s="99"/>
      <c r="AI8" s="7"/>
      <c r="AJ8" s="99"/>
      <c r="AK8" s="99"/>
      <c r="AL8" s="99"/>
      <c r="AM8" s="7"/>
      <c r="AN8" s="99"/>
      <c r="AO8" s="99"/>
      <c r="AP8" s="99"/>
      <c r="AQ8" s="7"/>
      <c r="AR8" s="99"/>
      <c r="AS8" s="99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99"/>
      <c r="AE9" s="6"/>
      <c r="AF9" s="99"/>
      <c r="AG9" s="99"/>
      <c r="AH9" s="99"/>
      <c r="AI9" s="7"/>
      <c r="AJ9" s="99"/>
      <c r="AK9" s="99"/>
      <c r="AL9" s="99"/>
      <c r="AM9" s="7"/>
      <c r="AN9" s="99"/>
      <c r="AO9" s="99"/>
      <c r="AP9" s="99"/>
      <c r="AQ9" s="7"/>
      <c r="AR9" s="99"/>
      <c r="AS9" s="99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</row>
    <row r="12" spans="2:47" ht="35.25" customHeight="1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</row>
    <row r="13" spans="2:47" ht="25.5" customHeight="1" x14ac:dyDescent="0.2">
      <c r="B13" s="15">
        <v>31320762</v>
      </c>
      <c r="C13" s="15">
        <v>31341907</v>
      </c>
      <c r="D13" s="15">
        <v>30981816</v>
      </c>
      <c r="E13" s="15">
        <f>+Y130</f>
        <v>3857862</v>
      </c>
      <c r="F13" s="84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</row>
    <row r="14" spans="2:47" ht="15" customHeight="1" x14ac:dyDescent="0.2">
      <c r="C14" s="17"/>
      <c r="D14" s="18"/>
      <c r="E14" s="17"/>
      <c r="F14" s="17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24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</row>
    <row r="16" spans="2:47" s="26" customFormat="1" ht="22.5" x14ac:dyDescent="0.2">
      <c r="B16" s="27">
        <v>1</v>
      </c>
      <c r="C16" s="27" t="s">
        <v>42</v>
      </c>
      <c r="D16" s="111">
        <v>30356277</v>
      </c>
      <c r="E16" s="29" t="s">
        <v>450</v>
      </c>
      <c r="F16" s="29" t="s">
        <v>54</v>
      </c>
      <c r="G16" s="30" t="s">
        <v>329</v>
      </c>
      <c r="H16" s="30" t="s">
        <v>62</v>
      </c>
      <c r="I16" s="88" t="s">
        <v>57</v>
      </c>
      <c r="J16" s="88">
        <v>362452</v>
      </c>
      <c r="K16" s="31">
        <v>85729</v>
      </c>
      <c r="L16" s="31">
        <v>88407</v>
      </c>
      <c r="M16" s="31">
        <v>0</v>
      </c>
      <c r="N16" s="31">
        <v>0</v>
      </c>
      <c r="O16" s="31">
        <v>0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 t="shared" ref="Y16:Y47" si="0">SUM(M16:X16)</f>
        <v>0</v>
      </c>
      <c r="Z16" s="32">
        <v>100000</v>
      </c>
      <c r="AA16" s="33">
        <v>1</v>
      </c>
      <c r="AB16" s="34">
        <v>44204</v>
      </c>
      <c r="AC16" s="89">
        <v>44223</v>
      </c>
      <c r="AD16" s="32"/>
      <c r="AE16" s="35"/>
      <c r="AF16" s="34"/>
      <c r="AG16" s="89"/>
      <c r="AH16" s="32"/>
      <c r="AI16" s="33"/>
      <c r="AJ16" s="36"/>
      <c r="AK16" s="89"/>
      <c r="AL16" s="32"/>
      <c r="AM16" s="33"/>
      <c r="AN16" s="36"/>
      <c r="AO16" s="89"/>
      <c r="AP16" s="32"/>
      <c r="AQ16" s="33"/>
      <c r="AR16" s="36"/>
      <c r="AS16" s="89"/>
      <c r="AT16" s="37">
        <f t="shared" ref="AT16:AT47" si="1">+Z16+AD16+AH16+AL16+AP16</f>
        <v>100000</v>
      </c>
      <c r="AU16" s="38">
        <f t="shared" ref="AU16:AU47" si="2">+AT16-Y16</f>
        <v>100000</v>
      </c>
    </row>
    <row r="17" spans="2:47" s="26" customFormat="1" ht="33.75" x14ac:dyDescent="0.2">
      <c r="B17" s="27">
        <v>2</v>
      </c>
      <c r="C17" s="27" t="s">
        <v>42</v>
      </c>
      <c r="D17" s="111">
        <v>30484461</v>
      </c>
      <c r="E17" s="29" t="s">
        <v>449</v>
      </c>
      <c r="F17" s="29" t="s">
        <v>54</v>
      </c>
      <c r="G17" s="30" t="s">
        <v>329</v>
      </c>
      <c r="H17" s="30" t="s">
        <v>62</v>
      </c>
      <c r="I17" s="88" t="s">
        <v>57</v>
      </c>
      <c r="J17" s="88">
        <v>445122</v>
      </c>
      <c r="K17" s="31">
        <v>1539</v>
      </c>
      <c r="L17" s="31">
        <v>0</v>
      </c>
      <c r="M17" s="31">
        <v>0</v>
      </c>
      <c r="N17" s="31">
        <v>8583</v>
      </c>
      <c r="O17" s="31">
        <v>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si="0"/>
        <v>8583</v>
      </c>
      <c r="Z17" s="32">
        <v>80000</v>
      </c>
      <c r="AA17" s="33">
        <v>1</v>
      </c>
      <c r="AB17" s="34">
        <v>44204</v>
      </c>
      <c r="AC17" s="89">
        <v>44223</v>
      </c>
      <c r="AD17" s="32"/>
      <c r="AE17" s="35"/>
      <c r="AF17" s="36"/>
      <c r="AG17" s="89"/>
      <c r="AH17" s="32"/>
      <c r="AI17" s="33"/>
      <c r="AJ17" s="36"/>
      <c r="AK17" s="89"/>
      <c r="AL17" s="32"/>
      <c r="AM17" s="33"/>
      <c r="AN17" s="36"/>
      <c r="AO17" s="89"/>
      <c r="AP17" s="32"/>
      <c r="AQ17" s="33"/>
      <c r="AR17" s="36"/>
      <c r="AS17" s="89"/>
      <c r="AT17" s="37">
        <f t="shared" si="1"/>
        <v>80000</v>
      </c>
      <c r="AU17" s="38">
        <f t="shared" si="2"/>
        <v>71417</v>
      </c>
    </row>
    <row r="18" spans="2:47" s="26" customFormat="1" ht="22.5" x14ac:dyDescent="0.2">
      <c r="B18" s="27">
        <v>3</v>
      </c>
      <c r="C18" s="27" t="s">
        <v>39</v>
      </c>
      <c r="D18" s="112">
        <v>30120610</v>
      </c>
      <c r="E18" s="29" t="s">
        <v>448</v>
      </c>
      <c r="F18" s="29" t="s">
        <v>54</v>
      </c>
      <c r="G18" s="30" t="s">
        <v>329</v>
      </c>
      <c r="H18" s="30" t="s">
        <v>351</v>
      </c>
      <c r="I18" s="88" t="s">
        <v>57</v>
      </c>
      <c r="J18" s="88">
        <v>2392113</v>
      </c>
      <c r="K18" s="31">
        <v>0</v>
      </c>
      <c r="L18" s="31">
        <v>1296236</v>
      </c>
      <c r="M18" s="31">
        <v>0</v>
      </c>
      <c r="N18" s="31">
        <v>0</v>
      </c>
      <c r="O18" s="31">
        <v>0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0"/>
        <v>0</v>
      </c>
      <c r="Z18" s="32">
        <v>350000</v>
      </c>
      <c r="AA18" s="39">
        <v>1</v>
      </c>
      <c r="AB18" s="34">
        <v>44204</v>
      </c>
      <c r="AC18" s="90">
        <v>44223</v>
      </c>
      <c r="AD18" s="91"/>
      <c r="AE18" s="40"/>
      <c r="AF18" s="34"/>
      <c r="AG18" s="90"/>
      <c r="AH18" s="91"/>
      <c r="AI18" s="39"/>
      <c r="AJ18" s="34"/>
      <c r="AK18" s="90"/>
      <c r="AL18" s="91"/>
      <c r="AM18" s="39"/>
      <c r="AN18" s="34"/>
      <c r="AO18" s="89"/>
      <c r="AP18" s="91"/>
      <c r="AQ18" s="33"/>
      <c r="AR18" s="41"/>
      <c r="AS18" s="89"/>
      <c r="AT18" s="37">
        <f t="shared" si="1"/>
        <v>350000</v>
      </c>
      <c r="AU18" s="38">
        <f t="shared" si="2"/>
        <v>350000</v>
      </c>
    </row>
    <row r="19" spans="2:47" s="26" customFormat="1" ht="22.5" x14ac:dyDescent="0.2">
      <c r="B19" s="27">
        <v>4</v>
      </c>
      <c r="C19" s="27" t="s">
        <v>39</v>
      </c>
      <c r="D19" s="111">
        <v>30095452</v>
      </c>
      <c r="E19" s="29" t="s">
        <v>447</v>
      </c>
      <c r="F19" s="29" t="s">
        <v>54</v>
      </c>
      <c r="G19" s="30" t="s">
        <v>329</v>
      </c>
      <c r="H19" s="30" t="s">
        <v>373</v>
      </c>
      <c r="I19" s="88" t="s">
        <v>57</v>
      </c>
      <c r="J19" s="88">
        <v>1854787</v>
      </c>
      <c r="K19" s="31">
        <v>1264</v>
      </c>
      <c r="L19" s="31">
        <v>1017720</v>
      </c>
      <c r="M19" s="31">
        <v>0</v>
      </c>
      <c r="N19" s="31">
        <v>0</v>
      </c>
      <c r="O19" s="31">
        <v>0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0"/>
        <v>0</v>
      </c>
      <c r="Z19" s="32">
        <v>322800</v>
      </c>
      <c r="AA19" s="39">
        <v>1</v>
      </c>
      <c r="AB19" s="34">
        <v>44204</v>
      </c>
      <c r="AC19" s="90">
        <v>44223</v>
      </c>
      <c r="AD19" s="32"/>
      <c r="AE19" s="40"/>
      <c r="AF19" s="34"/>
      <c r="AG19" s="90"/>
      <c r="AH19" s="92"/>
      <c r="AI19" s="39"/>
      <c r="AJ19" s="34"/>
      <c r="AK19" s="90"/>
      <c r="AL19" s="92"/>
      <c r="AM19" s="39"/>
      <c r="AN19" s="34"/>
      <c r="AO19" s="89"/>
      <c r="AP19" s="92"/>
      <c r="AQ19" s="33"/>
      <c r="AR19" s="41"/>
      <c r="AS19" s="89"/>
      <c r="AT19" s="37">
        <f t="shared" si="1"/>
        <v>322800</v>
      </c>
      <c r="AU19" s="38">
        <f t="shared" si="2"/>
        <v>322800</v>
      </c>
    </row>
    <row r="20" spans="2:47" s="26" customFormat="1" ht="20.25" customHeight="1" x14ac:dyDescent="0.2">
      <c r="B20" s="27">
        <v>5</v>
      </c>
      <c r="C20" s="27" t="s">
        <v>39</v>
      </c>
      <c r="D20" s="111">
        <v>30032850</v>
      </c>
      <c r="E20" s="29" t="s">
        <v>446</v>
      </c>
      <c r="F20" s="29" t="s">
        <v>54</v>
      </c>
      <c r="G20" s="30" t="s">
        <v>329</v>
      </c>
      <c r="H20" s="30" t="s">
        <v>373</v>
      </c>
      <c r="I20" s="88" t="s">
        <v>57</v>
      </c>
      <c r="J20" s="88">
        <v>6412079</v>
      </c>
      <c r="K20" s="31">
        <v>3503920</v>
      </c>
      <c r="L20" s="31">
        <v>207051</v>
      </c>
      <c r="M20" s="31">
        <v>121478</v>
      </c>
      <c r="N20" s="31">
        <v>149941</v>
      </c>
      <c r="O20" s="31">
        <v>223042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0"/>
        <v>494461</v>
      </c>
      <c r="Z20" s="32">
        <v>1248967</v>
      </c>
      <c r="AA20" s="39">
        <v>1</v>
      </c>
      <c r="AB20" s="34">
        <v>44204</v>
      </c>
      <c r="AC20" s="90">
        <v>44223</v>
      </c>
      <c r="AD20" s="32"/>
      <c r="AE20" s="40"/>
      <c r="AF20" s="34"/>
      <c r="AG20" s="90"/>
      <c r="AH20" s="92"/>
      <c r="AI20" s="39"/>
      <c r="AJ20" s="34"/>
      <c r="AK20" s="90"/>
      <c r="AL20" s="92"/>
      <c r="AM20" s="39"/>
      <c r="AN20" s="34"/>
      <c r="AO20" s="89"/>
      <c r="AP20" s="92"/>
      <c r="AQ20" s="33"/>
      <c r="AR20" s="41"/>
      <c r="AS20" s="89"/>
      <c r="AT20" s="37">
        <f t="shared" si="1"/>
        <v>1248967</v>
      </c>
      <c r="AU20" s="38">
        <f t="shared" si="2"/>
        <v>754506</v>
      </c>
    </row>
    <row r="21" spans="2:47" s="26" customFormat="1" ht="22.5" x14ac:dyDescent="0.2">
      <c r="B21" s="27">
        <v>6</v>
      </c>
      <c r="C21" s="27" t="s">
        <v>39</v>
      </c>
      <c r="D21" s="111">
        <v>30291922</v>
      </c>
      <c r="E21" s="29" t="s">
        <v>445</v>
      </c>
      <c r="F21" s="29" t="s">
        <v>54</v>
      </c>
      <c r="G21" s="30" t="s">
        <v>329</v>
      </c>
      <c r="H21" s="30" t="s">
        <v>334</v>
      </c>
      <c r="I21" s="88" t="s">
        <v>57</v>
      </c>
      <c r="J21" s="88">
        <v>1170939</v>
      </c>
      <c r="K21" s="31">
        <v>21275</v>
      </c>
      <c r="L21" s="31">
        <v>1002</v>
      </c>
      <c r="M21" s="31">
        <v>0</v>
      </c>
      <c r="N21" s="31">
        <v>0</v>
      </c>
      <c r="O21" s="31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0"/>
        <v>0</v>
      </c>
      <c r="Z21" s="32">
        <v>415000</v>
      </c>
      <c r="AA21" s="33">
        <v>1</v>
      </c>
      <c r="AB21" s="34">
        <v>44204</v>
      </c>
      <c r="AC21" s="89">
        <v>44223</v>
      </c>
      <c r="AD21" s="32"/>
      <c r="AE21" s="35"/>
      <c r="AF21" s="41"/>
      <c r="AG21" s="89"/>
      <c r="AH21" s="92"/>
      <c r="AI21" s="33"/>
      <c r="AJ21" s="41"/>
      <c r="AK21" s="89"/>
      <c r="AL21" s="92"/>
      <c r="AM21" s="33"/>
      <c r="AN21" s="41"/>
      <c r="AO21" s="89"/>
      <c r="AP21" s="92"/>
      <c r="AQ21" s="33"/>
      <c r="AR21" s="41"/>
      <c r="AS21" s="89"/>
      <c r="AT21" s="37">
        <f t="shared" si="1"/>
        <v>415000</v>
      </c>
      <c r="AU21" s="38">
        <f t="shared" si="2"/>
        <v>415000</v>
      </c>
    </row>
    <row r="22" spans="2:47" s="26" customFormat="1" ht="29.25" customHeight="1" x14ac:dyDescent="0.2">
      <c r="B22" s="27">
        <v>7</v>
      </c>
      <c r="C22" s="27" t="s">
        <v>39</v>
      </c>
      <c r="D22" s="111">
        <v>30488013</v>
      </c>
      <c r="E22" s="29" t="s">
        <v>444</v>
      </c>
      <c r="F22" s="29" t="s">
        <v>54</v>
      </c>
      <c r="G22" s="30" t="s">
        <v>329</v>
      </c>
      <c r="H22" s="30" t="s">
        <v>340</v>
      </c>
      <c r="I22" s="88" t="s">
        <v>57</v>
      </c>
      <c r="J22" s="88">
        <v>583393</v>
      </c>
      <c r="K22" s="31">
        <v>135042</v>
      </c>
      <c r="L22" s="31">
        <v>209</v>
      </c>
      <c r="M22" s="31">
        <v>62228</v>
      </c>
      <c r="N22" s="31">
        <v>46886</v>
      </c>
      <c r="O22" s="31">
        <v>31874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0"/>
        <v>140988</v>
      </c>
      <c r="Z22" s="32">
        <v>357780</v>
      </c>
      <c r="AA22" s="33">
        <v>1</v>
      </c>
      <c r="AB22" s="34">
        <v>44204</v>
      </c>
      <c r="AC22" s="89">
        <v>44223</v>
      </c>
      <c r="AD22" s="32"/>
      <c r="AE22" s="35"/>
      <c r="AF22" s="36"/>
      <c r="AG22" s="89"/>
      <c r="AH22" s="32"/>
      <c r="AI22" s="33"/>
      <c r="AJ22" s="36"/>
      <c r="AK22" s="89"/>
      <c r="AL22" s="32"/>
      <c r="AM22" s="33"/>
      <c r="AN22" s="36"/>
      <c r="AO22" s="89"/>
      <c r="AP22" s="32"/>
      <c r="AQ22" s="33"/>
      <c r="AR22" s="36"/>
      <c r="AS22" s="89"/>
      <c r="AT22" s="37">
        <f t="shared" si="1"/>
        <v>357780</v>
      </c>
      <c r="AU22" s="38">
        <f t="shared" si="2"/>
        <v>216792</v>
      </c>
    </row>
    <row r="23" spans="2:47" s="26" customFormat="1" ht="22.5" x14ac:dyDescent="0.2">
      <c r="B23" s="27">
        <v>8</v>
      </c>
      <c r="C23" s="27" t="s">
        <v>39</v>
      </c>
      <c r="D23" s="111">
        <v>30046819</v>
      </c>
      <c r="E23" s="29" t="s">
        <v>443</v>
      </c>
      <c r="F23" s="29" t="s">
        <v>54</v>
      </c>
      <c r="G23" s="30" t="s">
        <v>329</v>
      </c>
      <c r="H23" s="42" t="s">
        <v>340</v>
      </c>
      <c r="I23" s="88" t="s">
        <v>57</v>
      </c>
      <c r="J23" s="88">
        <v>1596062</v>
      </c>
      <c r="K23" s="31">
        <v>64338</v>
      </c>
      <c r="L23" s="31">
        <v>54642</v>
      </c>
      <c r="M23" s="31">
        <v>0</v>
      </c>
      <c r="N23" s="31">
        <v>0</v>
      </c>
      <c r="O23" s="31">
        <v>0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0"/>
        <v>0</v>
      </c>
      <c r="Z23" s="32">
        <v>200000</v>
      </c>
      <c r="AA23" s="33">
        <v>1</v>
      </c>
      <c r="AB23" s="34">
        <v>44204</v>
      </c>
      <c r="AC23" s="90">
        <v>44223</v>
      </c>
      <c r="AD23" s="32"/>
      <c r="AE23" s="35"/>
      <c r="AF23" s="36"/>
      <c r="AG23" s="89"/>
      <c r="AH23" s="32"/>
      <c r="AI23" s="33"/>
      <c r="AJ23" s="36"/>
      <c r="AK23" s="89"/>
      <c r="AL23" s="32"/>
      <c r="AM23" s="33"/>
      <c r="AN23" s="36"/>
      <c r="AO23" s="89"/>
      <c r="AP23" s="32"/>
      <c r="AQ23" s="33"/>
      <c r="AR23" s="36"/>
      <c r="AS23" s="89"/>
      <c r="AT23" s="37">
        <f t="shared" si="1"/>
        <v>200000</v>
      </c>
      <c r="AU23" s="38">
        <f t="shared" si="2"/>
        <v>200000</v>
      </c>
    </row>
    <row r="24" spans="2:47" s="26" customFormat="1" ht="21" customHeight="1" x14ac:dyDescent="0.2">
      <c r="B24" s="27">
        <v>9</v>
      </c>
      <c r="C24" s="27" t="s">
        <v>39</v>
      </c>
      <c r="D24" s="111">
        <v>30071487</v>
      </c>
      <c r="E24" s="29" t="s">
        <v>442</v>
      </c>
      <c r="F24" s="29" t="s">
        <v>54</v>
      </c>
      <c r="G24" s="30" t="s">
        <v>329</v>
      </c>
      <c r="H24" s="42" t="s">
        <v>340</v>
      </c>
      <c r="I24" s="88" t="s">
        <v>57</v>
      </c>
      <c r="J24" s="88">
        <v>2823523</v>
      </c>
      <c r="K24" s="31">
        <v>2625601</v>
      </c>
      <c r="L24" s="31">
        <v>0</v>
      </c>
      <c r="M24" s="31">
        <v>0</v>
      </c>
      <c r="N24" s="31">
        <v>0</v>
      </c>
      <c r="O24" s="31">
        <v>0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0"/>
        <v>0</v>
      </c>
      <c r="Z24" s="32">
        <v>59340</v>
      </c>
      <c r="AA24" s="33">
        <v>1</v>
      </c>
      <c r="AB24" s="34">
        <v>44204</v>
      </c>
      <c r="AC24" s="90">
        <v>44223</v>
      </c>
      <c r="AD24" s="32"/>
      <c r="AE24" s="35"/>
      <c r="AF24" s="36"/>
      <c r="AG24" s="89"/>
      <c r="AH24" s="32"/>
      <c r="AI24" s="33"/>
      <c r="AJ24" s="36"/>
      <c r="AK24" s="89"/>
      <c r="AL24" s="32"/>
      <c r="AM24" s="33"/>
      <c r="AN24" s="36"/>
      <c r="AO24" s="89"/>
      <c r="AP24" s="32"/>
      <c r="AQ24" s="33"/>
      <c r="AR24" s="36"/>
      <c r="AS24" s="89"/>
      <c r="AT24" s="37">
        <f t="shared" si="1"/>
        <v>59340</v>
      </c>
      <c r="AU24" s="38">
        <f t="shared" si="2"/>
        <v>59340</v>
      </c>
    </row>
    <row r="25" spans="2:47" s="26" customFormat="1" ht="22.5" x14ac:dyDescent="0.2">
      <c r="B25" s="27">
        <v>10</v>
      </c>
      <c r="C25" s="27" t="s">
        <v>39</v>
      </c>
      <c r="D25" s="111">
        <v>30349391</v>
      </c>
      <c r="E25" s="29" t="s">
        <v>441</v>
      </c>
      <c r="F25" s="29" t="s">
        <v>54</v>
      </c>
      <c r="G25" s="30" t="s">
        <v>329</v>
      </c>
      <c r="H25" s="42" t="s">
        <v>359</v>
      </c>
      <c r="I25" s="88" t="s">
        <v>57</v>
      </c>
      <c r="J25" s="88">
        <v>1110921</v>
      </c>
      <c r="K25" s="31">
        <v>130800</v>
      </c>
      <c r="L25" s="31">
        <v>0</v>
      </c>
      <c r="M25" s="31">
        <v>7472</v>
      </c>
      <c r="N25" s="31">
        <v>99482</v>
      </c>
      <c r="O25" s="31">
        <v>85715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0"/>
        <v>192669</v>
      </c>
      <c r="Z25" s="32">
        <v>531000</v>
      </c>
      <c r="AA25" s="33">
        <v>1</v>
      </c>
      <c r="AB25" s="34">
        <v>44204</v>
      </c>
      <c r="AC25" s="90">
        <v>44223</v>
      </c>
      <c r="AD25" s="32"/>
      <c r="AE25" s="35"/>
      <c r="AF25" s="36"/>
      <c r="AG25" s="89"/>
      <c r="AH25" s="32"/>
      <c r="AI25" s="33"/>
      <c r="AJ25" s="36"/>
      <c r="AK25" s="89"/>
      <c r="AL25" s="32"/>
      <c r="AM25" s="33"/>
      <c r="AN25" s="36"/>
      <c r="AO25" s="89"/>
      <c r="AP25" s="32"/>
      <c r="AQ25" s="33"/>
      <c r="AR25" s="36"/>
      <c r="AS25" s="89"/>
      <c r="AT25" s="37">
        <f t="shared" si="1"/>
        <v>531000</v>
      </c>
      <c r="AU25" s="38">
        <f t="shared" si="2"/>
        <v>338331</v>
      </c>
    </row>
    <row r="26" spans="2:47" s="26" customFormat="1" ht="22.5" x14ac:dyDescent="0.25">
      <c r="B26" s="27">
        <v>11</v>
      </c>
      <c r="C26" s="27" t="s">
        <v>39</v>
      </c>
      <c r="D26" s="110">
        <v>30128849</v>
      </c>
      <c r="E26" s="29" t="s">
        <v>440</v>
      </c>
      <c r="F26" s="29" t="s">
        <v>60</v>
      </c>
      <c r="G26" s="30" t="s">
        <v>329</v>
      </c>
      <c r="H26" s="42" t="s">
        <v>359</v>
      </c>
      <c r="I26" s="88" t="s">
        <v>57</v>
      </c>
      <c r="J26" s="88">
        <v>78946</v>
      </c>
      <c r="K26" s="31">
        <v>1800</v>
      </c>
      <c r="L26" s="31">
        <v>0</v>
      </c>
      <c r="M26" s="31">
        <v>0</v>
      </c>
      <c r="N26" s="31">
        <v>0</v>
      </c>
      <c r="O26" s="31">
        <v>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0"/>
        <v>0</v>
      </c>
      <c r="Z26" s="32">
        <v>50000</v>
      </c>
      <c r="AA26" s="33">
        <v>1</v>
      </c>
      <c r="AB26" s="41">
        <v>44204</v>
      </c>
      <c r="AC26" s="89">
        <v>44223</v>
      </c>
      <c r="AD26" s="32"/>
      <c r="AE26" s="35"/>
      <c r="AF26" s="36"/>
      <c r="AG26" s="89"/>
      <c r="AH26" s="32"/>
      <c r="AI26" s="33"/>
      <c r="AJ26" s="36"/>
      <c r="AK26" s="89"/>
      <c r="AL26" s="32"/>
      <c r="AM26" s="33"/>
      <c r="AN26" s="36"/>
      <c r="AO26" s="89"/>
      <c r="AP26" s="32"/>
      <c r="AQ26" s="33"/>
      <c r="AR26" s="36"/>
      <c r="AS26" s="89"/>
      <c r="AT26" s="37">
        <f t="shared" si="1"/>
        <v>50000</v>
      </c>
      <c r="AU26" s="38">
        <f t="shared" si="2"/>
        <v>50000</v>
      </c>
    </row>
    <row r="27" spans="2:47" s="26" customFormat="1" ht="22.5" x14ac:dyDescent="0.25">
      <c r="B27" s="27">
        <v>12</v>
      </c>
      <c r="C27" s="27" t="s">
        <v>39</v>
      </c>
      <c r="D27" s="110">
        <v>30354092</v>
      </c>
      <c r="E27" s="29" t="s">
        <v>439</v>
      </c>
      <c r="F27" s="29" t="s">
        <v>54</v>
      </c>
      <c r="G27" s="30" t="s">
        <v>329</v>
      </c>
      <c r="H27" s="42" t="s">
        <v>337</v>
      </c>
      <c r="I27" s="88" t="s">
        <v>57</v>
      </c>
      <c r="J27" s="88">
        <v>347038</v>
      </c>
      <c r="K27" s="31">
        <v>282389</v>
      </c>
      <c r="L27" s="31">
        <v>2</v>
      </c>
      <c r="M27" s="31">
        <v>0</v>
      </c>
      <c r="N27" s="31">
        <v>8794</v>
      </c>
      <c r="O27" s="31">
        <v>0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0"/>
        <v>8794</v>
      </c>
      <c r="Z27" s="32">
        <v>38000</v>
      </c>
      <c r="AA27" s="33">
        <v>1</v>
      </c>
      <c r="AB27" s="41">
        <v>44204</v>
      </c>
      <c r="AC27" s="89">
        <v>44223</v>
      </c>
      <c r="AD27" s="32"/>
      <c r="AE27" s="35"/>
      <c r="AF27" s="36"/>
      <c r="AG27" s="89"/>
      <c r="AH27" s="32"/>
      <c r="AI27" s="33"/>
      <c r="AJ27" s="36"/>
      <c r="AK27" s="89"/>
      <c r="AL27" s="32"/>
      <c r="AM27" s="33"/>
      <c r="AN27" s="36"/>
      <c r="AO27" s="89"/>
      <c r="AP27" s="32"/>
      <c r="AQ27" s="33"/>
      <c r="AR27" s="36"/>
      <c r="AS27" s="89"/>
      <c r="AT27" s="37">
        <f t="shared" si="1"/>
        <v>38000</v>
      </c>
      <c r="AU27" s="38">
        <f t="shared" si="2"/>
        <v>29206</v>
      </c>
    </row>
    <row r="28" spans="2:47" s="26" customFormat="1" ht="22.5" x14ac:dyDescent="0.25">
      <c r="B28" s="27">
        <v>13</v>
      </c>
      <c r="C28" s="27" t="s">
        <v>39</v>
      </c>
      <c r="D28" s="110">
        <v>30117172</v>
      </c>
      <c r="E28" s="29" t="s">
        <v>438</v>
      </c>
      <c r="F28" s="29" t="s">
        <v>60</v>
      </c>
      <c r="G28" s="30" t="s">
        <v>329</v>
      </c>
      <c r="H28" s="42" t="s">
        <v>351</v>
      </c>
      <c r="I28" s="88" t="s">
        <v>57</v>
      </c>
      <c r="J28" s="88">
        <v>402571</v>
      </c>
      <c r="K28" s="31">
        <v>214038</v>
      </c>
      <c r="L28" s="31">
        <v>0</v>
      </c>
      <c r="M28" s="31">
        <v>0</v>
      </c>
      <c r="N28" s="31"/>
      <c r="O28" s="31">
        <v>0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0"/>
        <v>0</v>
      </c>
      <c r="Z28" s="32">
        <v>14400</v>
      </c>
      <c r="AA28" s="33">
        <v>2</v>
      </c>
      <c r="AB28" s="41">
        <v>44204</v>
      </c>
      <c r="AC28" s="89">
        <v>44223</v>
      </c>
      <c r="AD28" s="32"/>
      <c r="AE28" s="35"/>
      <c r="AF28" s="36"/>
      <c r="AG28" s="89"/>
      <c r="AH28" s="32"/>
      <c r="AI28" s="33"/>
      <c r="AJ28" s="36"/>
      <c r="AK28" s="89"/>
      <c r="AL28" s="32"/>
      <c r="AM28" s="33"/>
      <c r="AN28" s="36"/>
      <c r="AO28" s="89"/>
      <c r="AP28" s="32"/>
      <c r="AQ28" s="33"/>
      <c r="AR28" s="36"/>
      <c r="AS28" s="89"/>
      <c r="AT28" s="37">
        <f t="shared" si="1"/>
        <v>14400</v>
      </c>
      <c r="AU28" s="38">
        <f t="shared" si="2"/>
        <v>14400</v>
      </c>
    </row>
    <row r="29" spans="2:47" s="26" customFormat="1" ht="22.5" x14ac:dyDescent="0.25">
      <c r="B29" s="27">
        <v>14</v>
      </c>
      <c r="C29" s="27" t="s">
        <v>39</v>
      </c>
      <c r="D29" s="110">
        <v>30349394</v>
      </c>
      <c r="E29" s="29" t="s">
        <v>437</v>
      </c>
      <c r="F29" s="29" t="s">
        <v>54</v>
      </c>
      <c r="G29" s="30" t="s">
        <v>329</v>
      </c>
      <c r="H29" s="42" t="s">
        <v>377</v>
      </c>
      <c r="I29" s="88" t="s">
        <v>57</v>
      </c>
      <c r="J29" s="88">
        <v>794858</v>
      </c>
      <c r="K29" s="31">
        <v>196606</v>
      </c>
      <c r="L29" s="31">
        <v>0</v>
      </c>
      <c r="M29" s="31">
        <v>84713</v>
      </c>
      <c r="N29" s="31">
        <v>67901</v>
      </c>
      <c r="O29" s="31">
        <v>116001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0"/>
        <v>268615</v>
      </c>
      <c r="Z29" s="32">
        <v>411090</v>
      </c>
      <c r="AA29" s="33">
        <v>2</v>
      </c>
      <c r="AB29" s="41">
        <v>44204</v>
      </c>
      <c r="AC29" s="89">
        <v>44223</v>
      </c>
      <c r="AD29" s="32"/>
      <c r="AE29" s="35"/>
      <c r="AF29" s="36"/>
      <c r="AG29" s="89"/>
      <c r="AH29" s="32"/>
      <c r="AI29" s="33"/>
      <c r="AJ29" s="36"/>
      <c r="AK29" s="89"/>
      <c r="AL29" s="32"/>
      <c r="AM29" s="33"/>
      <c r="AN29" s="36"/>
      <c r="AO29" s="89"/>
      <c r="AP29" s="32"/>
      <c r="AQ29" s="33"/>
      <c r="AR29" s="36"/>
      <c r="AS29" s="89"/>
      <c r="AT29" s="37">
        <f t="shared" si="1"/>
        <v>411090</v>
      </c>
      <c r="AU29" s="38">
        <f t="shared" si="2"/>
        <v>142475</v>
      </c>
    </row>
    <row r="30" spans="2:47" s="26" customFormat="1" ht="22.5" x14ac:dyDescent="0.25">
      <c r="B30" s="27">
        <v>15</v>
      </c>
      <c r="C30" s="27" t="s">
        <v>39</v>
      </c>
      <c r="D30" s="110">
        <v>30128930</v>
      </c>
      <c r="E30" s="29" t="s">
        <v>436</v>
      </c>
      <c r="F30" s="29" t="s">
        <v>54</v>
      </c>
      <c r="G30" s="30" t="s">
        <v>329</v>
      </c>
      <c r="H30" s="42" t="s">
        <v>340</v>
      </c>
      <c r="I30" s="88" t="s">
        <v>57</v>
      </c>
      <c r="J30" s="88">
        <v>334066</v>
      </c>
      <c r="K30" s="31">
        <v>26585</v>
      </c>
      <c r="L30" s="31">
        <v>0</v>
      </c>
      <c r="M30" s="31">
        <v>91762</v>
      </c>
      <c r="N30" s="31">
        <v>71624</v>
      </c>
      <c r="O30" s="31">
        <v>51913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0"/>
        <v>215299</v>
      </c>
      <c r="Z30" s="32">
        <v>111154</v>
      </c>
      <c r="AA30" s="33">
        <v>2</v>
      </c>
      <c r="AB30" s="41">
        <v>44204</v>
      </c>
      <c r="AC30" s="89">
        <v>44223</v>
      </c>
      <c r="AD30" s="32">
        <v>148038</v>
      </c>
      <c r="AE30" s="35">
        <v>12</v>
      </c>
      <c r="AF30" s="41">
        <v>44228</v>
      </c>
      <c r="AG30" s="89">
        <v>44246</v>
      </c>
      <c r="AH30" s="32"/>
      <c r="AI30" s="33"/>
      <c r="AJ30" s="36"/>
      <c r="AK30" s="89"/>
      <c r="AL30" s="32"/>
      <c r="AM30" s="33"/>
      <c r="AN30" s="36"/>
      <c r="AO30" s="89"/>
      <c r="AP30" s="32"/>
      <c r="AQ30" s="33"/>
      <c r="AR30" s="36"/>
      <c r="AS30" s="89"/>
      <c r="AT30" s="37">
        <f t="shared" si="1"/>
        <v>259192</v>
      </c>
      <c r="AU30" s="38">
        <f t="shared" si="2"/>
        <v>43893</v>
      </c>
    </row>
    <row r="31" spans="2:47" s="26" customFormat="1" ht="22.5" x14ac:dyDescent="0.25">
      <c r="B31" s="27">
        <v>16</v>
      </c>
      <c r="C31" s="27" t="s">
        <v>39</v>
      </c>
      <c r="D31" s="110">
        <v>30454524</v>
      </c>
      <c r="E31" s="29" t="s">
        <v>435</v>
      </c>
      <c r="F31" s="29" t="s">
        <v>54</v>
      </c>
      <c r="G31" s="30" t="s">
        <v>329</v>
      </c>
      <c r="H31" s="42" t="s">
        <v>345</v>
      </c>
      <c r="I31" s="88" t="s">
        <v>57</v>
      </c>
      <c r="J31" s="88">
        <v>1534040</v>
      </c>
      <c r="K31" s="31">
        <v>109117</v>
      </c>
      <c r="L31" s="31">
        <v>0</v>
      </c>
      <c r="M31" s="31">
        <v>53190</v>
      </c>
      <c r="N31" s="31">
        <v>59315</v>
      </c>
      <c r="O31" s="31">
        <v>63212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0"/>
        <v>175717</v>
      </c>
      <c r="Z31" s="32">
        <v>520002</v>
      </c>
      <c r="AA31" s="33">
        <v>2</v>
      </c>
      <c r="AB31" s="41">
        <v>44204</v>
      </c>
      <c r="AC31" s="89">
        <v>44223</v>
      </c>
      <c r="AD31" s="32"/>
      <c r="AE31" s="35"/>
      <c r="AF31" s="36"/>
      <c r="AG31" s="89"/>
      <c r="AH31" s="32"/>
      <c r="AI31" s="33"/>
      <c r="AJ31" s="36"/>
      <c r="AK31" s="89"/>
      <c r="AL31" s="32"/>
      <c r="AM31" s="33"/>
      <c r="AN31" s="36"/>
      <c r="AO31" s="89"/>
      <c r="AP31" s="32"/>
      <c r="AQ31" s="33"/>
      <c r="AR31" s="36"/>
      <c r="AS31" s="89"/>
      <c r="AT31" s="37">
        <f t="shared" si="1"/>
        <v>520002</v>
      </c>
      <c r="AU31" s="38">
        <f t="shared" si="2"/>
        <v>344285</v>
      </c>
    </row>
    <row r="32" spans="2:47" s="26" customFormat="1" ht="22.5" x14ac:dyDescent="0.25">
      <c r="B32" s="27">
        <v>17</v>
      </c>
      <c r="C32" s="27" t="s">
        <v>39</v>
      </c>
      <c r="D32" s="110">
        <v>30429074</v>
      </c>
      <c r="E32" s="29" t="s">
        <v>434</v>
      </c>
      <c r="F32" s="29" t="s">
        <v>60</v>
      </c>
      <c r="G32" s="30" t="s">
        <v>329</v>
      </c>
      <c r="H32" s="42" t="s">
        <v>345</v>
      </c>
      <c r="I32" s="88" t="s">
        <v>57</v>
      </c>
      <c r="J32" s="88">
        <v>221510</v>
      </c>
      <c r="K32" s="31">
        <v>114289</v>
      </c>
      <c r="L32" s="31">
        <v>56125</v>
      </c>
      <c r="M32" s="31">
        <v>0</v>
      </c>
      <c r="N32" s="31">
        <v>0</v>
      </c>
      <c r="O32" s="31">
        <v>0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0"/>
        <v>0</v>
      </c>
      <c r="Z32" s="32">
        <v>40000</v>
      </c>
      <c r="AA32" s="33">
        <v>2</v>
      </c>
      <c r="AB32" s="41">
        <v>44204</v>
      </c>
      <c r="AC32" s="89">
        <v>44223</v>
      </c>
      <c r="AD32" s="32"/>
      <c r="AE32" s="35"/>
      <c r="AF32" s="36"/>
      <c r="AG32" s="89"/>
      <c r="AH32" s="32"/>
      <c r="AI32" s="33"/>
      <c r="AJ32" s="36"/>
      <c r="AK32" s="89"/>
      <c r="AL32" s="32"/>
      <c r="AM32" s="33"/>
      <c r="AN32" s="36"/>
      <c r="AO32" s="89"/>
      <c r="AP32" s="32"/>
      <c r="AQ32" s="33"/>
      <c r="AR32" s="36"/>
      <c r="AS32" s="89"/>
      <c r="AT32" s="37">
        <f t="shared" si="1"/>
        <v>40000</v>
      </c>
      <c r="AU32" s="38">
        <f t="shared" si="2"/>
        <v>40000</v>
      </c>
    </row>
    <row r="33" spans="2:47" s="26" customFormat="1" ht="22.5" x14ac:dyDescent="0.25">
      <c r="B33" s="27">
        <v>18</v>
      </c>
      <c r="C33" s="27" t="s">
        <v>39</v>
      </c>
      <c r="D33" s="110">
        <v>30117055</v>
      </c>
      <c r="E33" s="29" t="s">
        <v>433</v>
      </c>
      <c r="F33" s="29" t="s">
        <v>54</v>
      </c>
      <c r="G33" s="30" t="s">
        <v>329</v>
      </c>
      <c r="H33" s="42" t="s">
        <v>345</v>
      </c>
      <c r="I33" s="88" t="s">
        <v>57</v>
      </c>
      <c r="J33" s="88">
        <v>342540</v>
      </c>
      <c r="K33" s="31">
        <v>2329</v>
      </c>
      <c r="L33" s="31">
        <v>76871</v>
      </c>
      <c r="M33" s="31">
        <v>0</v>
      </c>
      <c r="N33" s="31">
        <v>0</v>
      </c>
      <c r="O33" s="31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0"/>
        <v>0</v>
      </c>
      <c r="Z33" s="32">
        <v>145260</v>
      </c>
      <c r="AA33" s="33">
        <v>2</v>
      </c>
      <c r="AB33" s="41">
        <v>44204</v>
      </c>
      <c r="AC33" s="89">
        <v>44223</v>
      </c>
      <c r="AD33" s="32"/>
      <c r="AE33" s="35"/>
      <c r="AF33" s="36"/>
      <c r="AG33" s="89"/>
      <c r="AH33" s="32"/>
      <c r="AI33" s="33"/>
      <c r="AJ33" s="36"/>
      <c r="AK33" s="89"/>
      <c r="AL33" s="32"/>
      <c r="AM33" s="33"/>
      <c r="AN33" s="36"/>
      <c r="AO33" s="89"/>
      <c r="AP33" s="32"/>
      <c r="AQ33" s="33"/>
      <c r="AR33" s="36"/>
      <c r="AS33" s="89"/>
      <c r="AT33" s="37">
        <f t="shared" si="1"/>
        <v>145260</v>
      </c>
      <c r="AU33" s="38">
        <f t="shared" si="2"/>
        <v>145260</v>
      </c>
    </row>
    <row r="34" spans="2:47" s="26" customFormat="1" ht="22.5" x14ac:dyDescent="0.25">
      <c r="B34" s="27">
        <v>19</v>
      </c>
      <c r="C34" s="27" t="s">
        <v>39</v>
      </c>
      <c r="D34" s="110">
        <v>30311575</v>
      </c>
      <c r="E34" s="29" t="s">
        <v>432</v>
      </c>
      <c r="F34" s="29" t="s">
        <v>54</v>
      </c>
      <c r="G34" s="30" t="s">
        <v>329</v>
      </c>
      <c r="H34" s="42" t="s">
        <v>334</v>
      </c>
      <c r="I34" s="88" t="s">
        <v>57</v>
      </c>
      <c r="J34" s="88">
        <v>675699</v>
      </c>
      <c r="K34" s="31">
        <v>552829</v>
      </c>
      <c r="L34" s="31">
        <v>0</v>
      </c>
      <c r="M34" s="31">
        <v>0</v>
      </c>
      <c r="N34" s="31">
        <v>0</v>
      </c>
      <c r="O34" s="31">
        <v>33439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0"/>
        <v>33439</v>
      </c>
      <c r="Z34" s="32">
        <v>93158</v>
      </c>
      <c r="AA34" s="33">
        <v>2</v>
      </c>
      <c r="AB34" s="41">
        <v>44204</v>
      </c>
      <c r="AC34" s="89">
        <v>44223</v>
      </c>
      <c r="AD34" s="32">
        <v>14680</v>
      </c>
      <c r="AE34" s="35">
        <v>26</v>
      </c>
      <c r="AF34" s="41">
        <v>44264</v>
      </c>
      <c r="AG34" s="89">
        <v>44279</v>
      </c>
      <c r="AH34" s="32"/>
      <c r="AI34" s="33"/>
      <c r="AJ34" s="36"/>
      <c r="AK34" s="89"/>
      <c r="AL34" s="32"/>
      <c r="AM34" s="33"/>
      <c r="AN34" s="36"/>
      <c r="AO34" s="89"/>
      <c r="AP34" s="32"/>
      <c r="AQ34" s="33"/>
      <c r="AR34" s="36"/>
      <c r="AS34" s="89"/>
      <c r="AT34" s="37">
        <f t="shared" si="1"/>
        <v>107838</v>
      </c>
      <c r="AU34" s="38">
        <f t="shared" si="2"/>
        <v>74399</v>
      </c>
    </row>
    <row r="35" spans="2:47" s="26" customFormat="1" ht="22.5" x14ac:dyDescent="0.25">
      <c r="B35" s="27">
        <v>20</v>
      </c>
      <c r="C35" s="27" t="s">
        <v>39</v>
      </c>
      <c r="D35" s="110">
        <v>30107986</v>
      </c>
      <c r="E35" s="29" t="s">
        <v>431</v>
      </c>
      <c r="F35" s="29" t="s">
        <v>54</v>
      </c>
      <c r="G35" s="30" t="s">
        <v>329</v>
      </c>
      <c r="H35" s="42" t="s">
        <v>345</v>
      </c>
      <c r="I35" s="88" t="s">
        <v>57</v>
      </c>
      <c r="J35" s="88">
        <v>734559</v>
      </c>
      <c r="K35" s="31">
        <v>2098</v>
      </c>
      <c r="L35" s="31">
        <v>107421</v>
      </c>
      <c r="M35" s="31">
        <v>62943</v>
      </c>
      <c r="N35" s="31">
        <v>31070</v>
      </c>
      <c r="O35" s="31">
        <v>106941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0"/>
        <v>200954</v>
      </c>
      <c r="Z35" s="32">
        <v>320000</v>
      </c>
      <c r="AA35" s="33">
        <v>2</v>
      </c>
      <c r="AB35" s="41">
        <v>44204</v>
      </c>
      <c r="AC35" s="89">
        <v>44223</v>
      </c>
      <c r="AD35" s="32"/>
      <c r="AE35" s="35"/>
      <c r="AF35" s="36"/>
      <c r="AG35" s="89"/>
      <c r="AH35" s="32"/>
      <c r="AI35" s="33"/>
      <c r="AJ35" s="36"/>
      <c r="AK35" s="89"/>
      <c r="AL35" s="32"/>
      <c r="AM35" s="33"/>
      <c r="AN35" s="36"/>
      <c r="AO35" s="89"/>
      <c r="AP35" s="32"/>
      <c r="AQ35" s="33"/>
      <c r="AR35" s="36"/>
      <c r="AS35" s="89"/>
      <c r="AT35" s="37">
        <f t="shared" si="1"/>
        <v>320000</v>
      </c>
      <c r="AU35" s="38">
        <f t="shared" si="2"/>
        <v>119046</v>
      </c>
    </row>
    <row r="36" spans="2:47" s="26" customFormat="1" ht="22.5" x14ac:dyDescent="0.25">
      <c r="B36" s="27">
        <v>21</v>
      </c>
      <c r="C36" s="27" t="s">
        <v>39</v>
      </c>
      <c r="D36" s="110">
        <v>30095528</v>
      </c>
      <c r="E36" s="29" t="s">
        <v>430</v>
      </c>
      <c r="F36" s="29" t="s">
        <v>54</v>
      </c>
      <c r="G36" s="30" t="s">
        <v>329</v>
      </c>
      <c r="H36" s="42" t="s">
        <v>340</v>
      </c>
      <c r="I36" s="88" t="s">
        <v>57</v>
      </c>
      <c r="J36" s="88">
        <v>640628</v>
      </c>
      <c r="K36" s="31">
        <v>0</v>
      </c>
      <c r="L36" s="31">
        <v>36905</v>
      </c>
      <c r="M36" s="31">
        <v>0</v>
      </c>
      <c r="N36" s="31">
        <v>0</v>
      </c>
      <c r="O36" s="31">
        <v>0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0"/>
        <v>0</v>
      </c>
      <c r="Z36" s="32">
        <v>316259</v>
      </c>
      <c r="AA36" s="33">
        <v>2</v>
      </c>
      <c r="AB36" s="41">
        <v>44204</v>
      </c>
      <c r="AC36" s="89">
        <v>44223</v>
      </c>
      <c r="AD36" s="32"/>
      <c r="AE36" s="35"/>
      <c r="AF36" s="36"/>
      <c r="AG36" s="89"/>
      <c r="AH36" s="32"/>
      <c r="AI36" s="33"/>
      <c r="AJ36" s="36"/>
      <c r="AK36" s="89"/>
      <c r="AL36" s="32"/>
      <c r="AM36" s="33"/>
      <c r="AN36" s="36"/>
      <c r="AO36" s="89"/>
      <c r="AP36" s="32"/>
      <c r="AQ36" s="33"/>
      <c r="AR36" s="36"/>
      <c r="AS36" s="89"/>
      <c r="AT36" s="37">
        <f t="shared" si="1"/>
        <v>316259</v>
      </c>
      <c r="AU36" s="38">
        <f t="shared" si="2"/>
        <v>316259</v>
      </c>
    </row>
    <row r="37" spans="2:47" s="26" customFormat="1" ht="22.5" x14ac:dyDescent="0.25">
      <c r="B37" s="27">
        <v>22</v>
      </c>
      <c r="C37" s="27" t="s">
        <v>39</v>
      </c>
      <c r="D37" s="110">
        <v>30428973</v>
      </c>
      <c r="E37" s="29" t="s">
        <v>429</v>
      </c>
      <c r="F37" s="29" t="s">
        <v>54</v>
      </c>
      <c r="G37" s="30" t="s">
        <v>329</v>
      </c>
      <c r="H37" s="42" t="s">
        <v>62</v>
      </c>
      <c r="I37" s="88" t="s">
        <v>57</v>
      </c>
      <c r="J37" s="88">
        <v>2162166</v>
      </c>
      <c r="K37" s="31">
        <v>0</v>
      </c>
      <c r="L37" s="31">
        <v>62166</v>
      </c>
      <c r="M37" s="31">
        <v>0</v>
      </c>
      <c r="N37" s="31">
        <v>0</v>
      </c>
      <c r="O37" s="31">
        <v>45604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0"/>
        <v>45604</v>
      </c>
      <c r="Z37" s="32">
        <v>1000000</v>
      </c>
      <c r="AA37" s="33">
        <v>2</v>
      </c>
      <c r="AB37" s="41">
        <v>44204</v>
      </c>
      <c r="AC37" s="89">
        <v>44223</v>
      </c>
      <c r="AD37" s="32"/>
      <c r="AE37" s="35"/>
      <c r="AF37" s="36"/>
      <c r="AG37" s="89"/>
      <c r="AH37" s="32"/>
      <c r="AI37" s="33"/>
      <c r="AJ37" s="36"/>
      <c r="AK37" s="89"/>
      <c r="AL37" s="32"/>
      <c r="AM37" s="33"/>
      <c r="AN37" s="36"/>
      <c r="AO37" s="89"/>
      <c r="AP37" s="32"/>
      <c r="AQ37" s="33"/>
      <c r="AR37" s="36"/>
      <c r="AS37" s="89"/>
      <c r="AT37" s="37">
        <f t="shared" si="1"/>
        <v>1000000</v>
      </c>
      <c r="AU37" s="38">
        <f t="shared" si="2"/>
        <v>954396</v>
      </c>
    </row>
    <row r="38" spans="2:47" s="26" customFormat="1" x14ac:dyDescent="0.25">
      <c r="B38" s="27">
        <v>23</v>
      </c>
      <c r="C38" s="27" t="s">
        <v>39</v>
      </c>
      <c r="D38" s="110">
        <v>30065993</v>
      </c>
      <c r="E38" s="29" t="s">
        <v>428</v>
      </c>
      <c r="F38" s="29" t="s">
        <v>54</v>
      </c>
      <c r="G38" s="30" t="s">
        <v>329</v>
      </c>
      <c r="H38" s="42" t="s">
        <v>349</v>
      </c>
      <c r="I38" s="88" t="s">
        <v>57</v>
      </c>
      <c r="J38" s="88">
        <v>2756456</v>
      </c>
      <c r="K38" s="31">
        <v>1061813</v>
      </c>
      <c r="L38" s="31">
        <v>0</v>
      </c>
      <c r="M38" s="31">
        <v>0</v>
      </c>
      <c r="N38" s="31">
        <v>0</v>
      </c>
      <c r="O38" s="31">
        <v>0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0"/>
        <v>0</v>
      </c>
      <c r="Z38" s="32">
        <v>1000</v>
      </c>
      <c r="AA38" s="33">
        <v>2</v>
      </c>
      <c r="AB38" s="41">
        <v>44204</v>
      </c>
      <c r="AC38" s="89">
        <v>44223</v>
      </c>
      <c r="AD38" s="32"/>
      <c r="AE38" s="35"/>
      <c r="AF38" s="36"/>
      <c r="AG38" s="89"/>
      <c r="AH38" s="32"/>
      <c r="AI38" s="33"/>
      <c r="AJ38" s="36"/>
      <c r="AK38" s="89"/>
      <c r="AL38" s="32"/>
      <c r="AM38" s="33"/>
      <c r="AN38" s="36"/>
      <c r="AO38" s="89"/>
      <c r="AP38" s="32"/>
      <c r="AQ38" s="33"/>
      <c r="AR38" s="36"/>
      <c r="AS38" s="89"/>
      <c r="AT38" s="37">
        <f t="shared" si="1"/>
        <v>1000</v>
      </c>
      <c r="AU38" s="38">
        <f t="shared" si="2"/>
        <v>1000</v>
      </c>
    </row>
    <row r="39" spans="2:47" s="26" customFormat="1" ht="22.5" x14ac:dyDescent="0.25">
      <c r="B39" s="27">
        <v>24</v>
      </c>
      <c r="C39" s="27" t="s">
        <v>39</v>
      </c>
      <c r="D39" s="110">
        <v>30095341</v>
      </c>
      <c r="E39" s="29" t="s">
        <v>427</v>
      </c>
      <c r="F39" s="29" t="s">
        <v>54</v>
      </c>
      <c r="G39" s="30" t="s">
        <v>329</v>
      </c>
      <c r="H39" s="42" t="s">
        <v>373</v>
      </c>
      <c r="I39" s="88" t="s">
        <v>57</v>
      </c>
      <c r="J39" s="88">
        <v>1726324</v>
      </c>
      <c r="K39" s="31">
        <v>1652762</v>
      </c>
      <c r="L39" s="31">
        <v>2</v>
      </c>
      <c r="M39" s="31">
        <v>0</v>
      </c>
      <c r="N39" s="31">
        <v>0</v>
      </c>
      <c r="O39" s="31"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0"/>
        <v>0</v>
      </c>
      <c r="Z39" s="32">
        <v>73559</v>
      </c>
      <c r="AA39" s="33">
        <v>3</v>
      </c>
      <c r="AB39" s="41">
        <v>44204</v>
      </c>
      <c r="AC39" s="89">
        <v>44223</v>
      </c>
      <c r="AD39" s="32"/>
      <c r="AE39" s="35"/>
      <c r="AF39" s="36"/>
      <c r="AG39" s="89"/>
      <c r="AH39" s="32"/>
      <c r="AI39" s="33"/>
      <c r="AJ39" s="36"/>
      <c r="AK39" s="89"/>
      <c r="AL39" s="32"/>
      <c r="AM39" s="33"/>
      <c r="AN39" s="36"/>
      <c r="AO39" s="89"/>
      <c r="AP39" s="32"/>
      <c r="AQ39" s="33"/>
      <c r="AR39" s="36"/>
      <c r="AS39" s="89"/>
      <c r="AT39" s="37">
        <f t="shared" si="1"/>
        <v>73559</v>
      </c>
      <c r="AU39" s="38">
        <f t="shared" si="2"/>
        <v>73559</v>
      </c>
    </row>
    <row r="40" spans="2:47" s="26" customFormat="1" ht="22.5" x14ac:dyDescent="0.25">
      <c r="B40" s="27">
        <v>25</v>
      </c>
      <c r="C40" s="27" t="s">
        <v>39</v>
      </c>
      <c r="D40" s="110">
        <v>30128886</v>
      </c>
      <c r="E40" s="29" t="s">
        <v>426</v>
      </c>
      <c r="F40" s="29" t="s">
        <v>60</v>
      </c>
      <c r="G40" s="30" t="s">
        <v>329</v>
      </c>
      <c r="H40" s="42" t="s">
        <v>334</v>
      </c>
      <c r="I40" s="88" t="s">
        <v>57</v>
      </c>
      <c r="J40" s="88">
        <v>42290</v>
      </c>
      <c r="K40" s="31">
        <v>28581</v>
      </c>
      <c r="L40" s="31">
        <v>0</v>
      </c>
      <c r="M40" s="31">
        <v>0</v>
      </c>
      <c r="N40" s="31">
        <v>0</v>
      </c>
      <c r="O40" s="31"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0"/>
        <v>0</v>
      </c>
      <c r="Z40" s="32">
        <v>13145</v>
      </c>
      <c r="AA40" s="33">
        <v>3</v>
      </c>
      <c r="AB40" s="41">
        <v>44204</v>
      </c>
      <c r="AC40" s="89">
        <v>44223</v>
      </c>
      <c r="AD40" s="32"/>
      <c r="AE40" s="35"/>
      <c r="AF40" s="36"/>
      <c r="AG40" s="89"/>
      <c r="AH40" s="32"/>
      <c r="AI40" s="33"/>
      <c r="AJ40" s="36"/>
      <c r="AK40" s="89"/>
      <c r="AL40" s="32"/>
      <c r="AM40" s="33"/>
      <c r="AN40" s="36"/>
      <c r="AO40" s="89"/>
      <c r="AP40" s="32"/>
      <c r="AQ40" s="33"/>
      <c r="AR40" s="36"/>
      <c r="AS40" s="89"/>
      <c r="AT40" s="37">
        <f t="shared" si="1"/>
        <v>13145</v>
      </c>
      <c r="AU40" s="38">
        <f t="shared" si="2"/>
        <v>13145</v>
      </c>
    </row>
    <row r="41" spans="2:47" s="26" customFormat="1" ht="22.5" x14ac:dyDescent="0.25">
      <c r="B41" s="27">
        <v>26</v>
      </c>
      <c r="C41" s="27" t="s">
        <v>39</v>
      </c>
      <c r="D41" s="110">
        <v>30109942</v>
      </c>
      <c r="E41" s="29" t="s">
        <v>425</v>
      </c>
      <c r="F41" s="29" t="s">
        <v>366</v>
      </c>
      <c r="G41" s="30" t="s">
        <v>329</v>
      </c>
      <c r="H41" s="42" t="s">
        <v>334</v>
      </c>
      <c r="I41" s="88" t="s">
        <v>57</v>
      </c>
      <c r="J41" s="88">
        <v>67533</v>
      </c>
      <c r="K41" s="31">
        <v>41657</v>
      </c>
      <c r="L41" s="31">
        <v>0</v>
      </c>
      <c r="M41" s="31">
        <v>12946</v>
      </c>
      <c r="N41" s="31">
        <v>0</v>
      </c>
      <c r="O41" s="31">
        <v>4120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0"/>
        <v>17066</v>
      </c>
      <c r="Z41" s="32">
        <v>20000</v>
      </c>
      <c r="AA41" s="33">
        <v>3</v>
      </c>
      <c r="AB41" s="41">
        <v>44204</v>
      </c>
      <c r="AC41" s="89">
        <v>44223</v>
      </c>
      <c r="AD41" s="32"/>
      <c r="AE41" s="35"/>
      <c r="AF41" s="36"/>
      <c r="AG41" s="89"/>
      <c r="AH41" s="32"/>
      <c r="AI41" s="33"/>
      <c r="AJ41" s="36"/>
      <c r="AK41" s="89"/>
      <c r="AL41" s="32"/>
      <c r="AM41" s="33"/>
      <c r="AN41" s="36"/>
      <c r="AO41" s="89"/>
      <c r="AP41" s="32"/>
      <c r="AQ41" s="33"/>
      <c r="AR41" s="36"/>
      <c r="AS41" s="89"/>
      <c r="AT41" s="37">
        <f t="shared" si="1"/>
        <v>20000</v>
      </c>
      <c r="AU41" s="38">
        <f t="shared" si="2"/>
        <v>2934</v>
      </c>
    </row>
    <row r="42" spans="2:47" s="26" customFormat="1" ht="22.5" x14ac:dyDescent="0.25">
      <c r="B42" s="27">
        <v>27</v>
      </c>
      <c r="C42" s="27" t="s">
        <v>39</v>
      </c>
      <c r="D42" s="110">
        <v>30110742</v>
      </c>
      <c r="E42" s="29" t="s">
        <v>424</v>
      </c>
      <c r="F42" s="29" t="s">
        <v>54</v>
      </c>
      <c r="G42" s="30" t="s">
        <v>329</v>
      </c>
      <c r="H42" s="42" t="s">
        <v>62</v>
      </c>
      <c r="I42" s="88" t="s">
        <v>57</v>
      </c>
      <c r="J42" s="88">
        <v>1659257</v>
      </c>
      <c r="K42" s="31">
        <v>1655249</v>
      </c>
      <c r="L42" s="31">
        <v>0</v>
      </c>
      <c r="M42" s="31">
        <v>0</v>
      </c>
      <c r="N42" s="31">
        <v>0</v>
      </c>
      <c r="O42" s="31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0"/>
        <v>0</v>
      </c>
      <c r="Z42" s="32">
        <v>3043</v>
      </c>
      <c r="AA42" s="33">
        <v>3</v>
      </c>
      <c r="AB42" s="41">
        <v>44204</v>
      </c>
      <c r="AC42" s="89">
        <v>44223</v>
      </c>
      <c r="AD42" s="32"/>
      <c r="AE42" s="35"/>
      <c r="AF42" s="36"/>
      <c r="AG42" s="89"/>
      <c r="AH42" s="32"/>
      <c r="AI42" s="33"/>
      <c r="AJ42" s="36"/>
      <c r="AK42" s="89"/>
      <c r="AL42" s="32"/>
      <c r="AM42" s="33"/>
      <c r="AN42" s="36"/>
      <c r="AO42" s="89"/>
      <c r="AP42" s="32"/>
      <c r="AQ42" s="33"/>
      <c r="AR42" s="36"/>
      <c r="AS42" s="89"/>
      <c r="AT42" s="37">
        <f t="shared" si="1"/>
        <v>3043</v>
      </c>
      <c r="AU42" s="38">
        <f t="shared" si="2"/>
        <v>3043</v>
      </c>
    </row>
    <row r="43" spans="2:47" s="26" customFormat="1" x14ac:dyDescent="0.25">
      <c r="B43" s="27">
        <v>28</v>
      </c>
      <c r="C43" s="27" t="s">
        <v>39</v>
      </c>
      <c r="D43" s="110">
        <v>30109406</v>
      </c>
      <c r="E43" s="29" t="s">
        <v>423</v>
      </c>
      <c r="F43" s="29" t="s">
        <v>54</v>
      </c>
      <c r="G43" s="30" t="s">
        <v>329</v>
      </c>
      <c r="H43" s="42" t="s">
        <v>347</v>
      </c>
      <c r="I43" s="88" t="s">
        <v>57</v>
      </c>
      <c r="J43" s="88">
        <v>1027940</v>
      </c>
      <c r="K43" s="31">
        <v>2844</v>
      </c>
      <c r="L43" s="31">
        <v>149096</v>
      </c>
      <c r="M43" s="31">
        <v>0</v>
      </c>
      <c r="N43" s="31">
        <v>900</v>
      </c>
      <c r="O43" s="31">
        <v>98909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0"/>
        <v>99809</v>
      </c>
      <c r="Z43" s="32">
        <v>215900</v>
      </c>
      <c r="AA43" s="33">
        <v>3</v>
      </c>
      <c r="AB43" s="41">
        <v>44204</v>
      </c>
      <c r="AC43" s="89">
        <v>44223</v>
      </c>
      <c r="AD43" s="32">
        <v>224100</v>
      </c>
      <c r="AE43" s="35">
        <v>29</v>
      </c>
      <c r="AF43" s="41">
        <v>44270</v>
      </c>
      <c r="AG43" s="89">
        <v>44286</v>
      </c>
      <c r="AH43" s="32"/>
      <c r="AI43" s="33"/>
      <c r="AJ43" s="36"/>
      <c r="AK43" s="89"/>
      <c r="AL43" s="32"/>
      <c r="AM43" s="33"/>
      <c r="AN43" s="36"/>
      <c r="AO43" s="89"/>
      <c r="AP43" s="32"/>
      <c r="AQ43" s="33"/>
      <c r="AR43" s="36"/>
      <c r="AS43" s="89"/>
      <c r="AT43" s="37">
        <f t="shared" si="1"/>
        <v>440000</v>
      </c>
      <c r="AU43" s="38">
        <f t="shared" si="2"/>
        <v>340191</v>
      </c>
    </row>
    <row r="44" spans="2:47" s="26" customFormat="1" x14ac:dyDescent="0.25">
      <c r="B44" s="27">
        <v>29</v>
      </c>
      <c r="C44" s="27" t="s">
        <v>39</v>
      </c>
      <c r="D44" s="110">
        <v>30156826</v>
      </c>
      <c r="E44" s="29" t="s">
        <v>422</v>
      </c>
      <c r="F44" s="29" t="s">
        <v>60</v>
      </c>
      <c r="G44" s="30" t="s">
        <v>329</v>
      </c>
      <c r="H44" s="42" t="s">
        <v>330</v>
      </c>
      <c r="I44" s="88" t="s">
        <v>57</v>
      </c>
      <c r="J44" s="88">
        <v>39334</v>
      </c>
      <c r="K44" s="31">
        <v>17043</v>
      </c>
      <c r="L44" s="31">
        <v>0</v>
      </c>
      <c r="M44" s="31">
        <v>0</v>
      </c>
      <c r="N44" s="31">
        <v>0</v>
      </c>
      <c r="O44" s="31"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0"/>
        <v>0</v>
      </c>
      <c r="Z44" s="32">
        <v>19485</v>
      </c>
      <c r="AA44" s="33">
        <v>3</v>
      </c>
      <c r="AB44" s="41">
        <v>44204</v>
      </c>
      <c r="AC44" s="89">
        <v>44223</v>
      </c>
      <c r="AD44" s="32"/>
      <c r="AE44" s="35"/>
      <c r="AF44" s="36"/>
      <c r="AG44" s="89"/>
      <c r="AH44" s="32"/>
      <c r="AI44" s="33"/>
      <c r="AJ44" s="36"/>
      <c r="AK44" s="89"/>
      <c r="AL44" s="32"/>
      <c r="AM44" s="33"/>
      <c r="AN44" s="36"/>
      <c r="AO44" s="89"/>
      <c r="AP44" s="32"/>
      <c r="AQ44" s="33"/>
      <c r="AR44" s="36"/>
      <c r="AS44" s="89"/>
      <c r="AT44" s="37">
        <f t="shared" si="1"/>
        <v>19485</v>
      </c>
      <c r="AU44" s="38">
        <f t="shared" si="2"/>
        <v>19485</v>
      </c>
    </row>
    <row r="45" spans="2:47" s="26" customFormat="1" ht="22.5" x14ac:dyDescent="0.25">
      <c r="B45" s="27">
        <v>30</v>
      </c>
      <c r="C45" s="27" t="s">
        <v>39</v>
      </c>
      <c r="D45" s="110">
        <v>30157272</v>
      </c>
      <c r="E45" s="29" t="s">
        <v>421</v>
      </c>
      <c r="F45" s="29" t="s">
        <v>60</v>
      </c>
      <c r="G45" s="30" t="s">
        <v>329</v>
      </c>
      <c r="H45" s="42" t="s">
        <v>330</v>
      </c>
      <c r="I45" s="88" t="s">
        <v>57</v>
      </c>
      <c r="J45" s="88">
        <v>39330</v>
      </c>
      <c r="K45" s="31">
        <v>18832</v>
      </c>
      <c r="L45" s="31">
        <v>0</v>
      </c>
      <c r="M45" s="31">
        <v>0</v>
      </c>
      <c r="N45" s="31">
        <v>0</v>
      </c>
      <c r="O45" s="31">
        <v>0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0"/>
        <v>0</v>
      </c>
      <c r="Z45" s="32">
        <v>18076</v>
      </c>
      <c r="AA45" s="33">
        <v>3</v>
      </c>
      <c r="AB45" s="41">
        <v>44204</v>
      </c>
      <c r="AC45" s="89">
        <v>44223</v>
      </c>
      <c r="AD45" s="32"/>
      <c r="AE45" s="35"/>
      <c r="AF45" s="36"/>
      <c r="AG45" s="89"/>
      <c r="AH45" s="32"/>
      <c r="AI45" s="33"/>
      <c r="AJ45" s="36"/>
      <c r="AK45" s="89"/>
      <c r="AL45" s="32"/>
      <c r="AM45" s="33"/>
      <c r="AN45" s="36"/>
      <c r="AO45" s="89"/>
      <c r="AP45" s="32"/>
      <c r="AQ45" s="33"/>
      <c r="AR45" s="36"/>
      <c r="AS45" s="89"/>
      <c r="AT45" s="37">
        <f t="shared" si="1"/>
        <v>18076</v>
      </c>
      <c r="AU45" s="38">
        <f t="shared" si="2"/>
        <v>18076</v>
      </c>
    </row>
    <row r="46" spans="2:47" s="26" customFormat="1" ht="22.5" x14ac:dyDescent="0.25">
      <c r="B46" s="27">
        <v>31</v>
      </c>
      <c r="C46" s="27" t="s">
        <v>39</v>
      </c>
      <c r="D46" s="110">
        <v>30117041</v>
      </c>
      <c r="E46" s="29" t="s">
        <v>420</v>
      </c>
      <c r="F46" s="29" t="s">
        <v>60</v>
      </c>
      <c r="G46" s="30" t="s">
        <v>329</v>
      </c>
      <c r="H46" s="42" t="s">
        <v>345</v>
      </c>
      <c r="I46" s="88" t="s">
        <v>57</v>
      </c>
      <c r="J46" s="88">
        <v>93338</v>
      </c>
      <c r="K46" s="31">
        <v>53643</v>
      </c>
      <c r="L46" s="31">
        <v>0</v>
      </c>
      <c r="M46" s="31">
        <v>0</v>
      </c>
      <c r="N46" s="31">
        <v>13400</v>
      </c>
      <c r="O46" s="31"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0"/>
        <v>13400</v>
      </c>
      <c r="Z46" s="32">
        <v>37727</v>
      </c>
      <c r="AA46" s="33">
        <v>3</v>
      </c>
      <c r="AB46" s="41">
        <v>44204</v>
      </c>
      <c r="AC46" s="89">
        <v>44223</v>
      </c>
      <c r="AD46" s="32"/>
      <c r="AE46" s="35"/>
      <c r="AF46" s="36"/>
      <c r="AG46" s="89"/>
      <c r="AH46" s="32"/>
      <c r="AI46" s="33"/>
      <c r="AJ46" s="36"/>
      <c r="AK46" s="89"/>
      <c r="AL46" s="32"/>
      <c r="AM46" s="33"/>
      <c r="AN46" s="36"/>
      <c r="AO46" s="89"/>
      <c r="AP46" s="32"/>
      <c r="AQ46" s="33"/>
      <c r="AR46" s="36"/>
      <c r="AS46" s="89"/>
      <c r="AT46" s="37">
        <f t="shared" si="1"/>
        <v>37727</v>
      </c>
      <c r="AU46" s="38">
        <f t="shared" si="2"/>
        <v>24327</v>
      </c>
    </row>
    <row r="47" spans="2:47" s="26" customFormat="1" x14ac:dyDescent="0.25">
      <c r="B47" s="27">
        <v>32</v>
      </c>
      <c r="C47" s="27" t="s">
        <v>39</v>
      </c>
      <c r="D47" s="110">
        <v>30428384</v>
      </c>
      <c r="E47" s="29" t="s">
        <v>419</v>
      </c>
      <c r="F47" s="29" t="s">
        <v>60</v>
      </c>
      <c r="G47" s="30" t="s">
        <v>329</v>
      </c>
      <c r="H47" s="42" t="s">
        <v>62</v>
      </c>
      <c r="I47" s="88" t="s">
        <v>57</v>
      </c>
      <c r="J47" s="88">
        <v>218998</v>
      </c>
      <c r="K47" s="31">
        <v>198898</v>
      </c>
      <c r="L47" s="31">
        <v>0</v>
      </c>
      <c r="M47" s="31">
        <v>0</v>
      </c>
      <c r="N47" s="31">
        <v>0</v>
      </c>
      <c r="O47" s="31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0"/>
        <v>0</v>
      </c>
      <c r="Z47" s="32">
        <v>20100</v>
      </c>
      <c r="AA47" s="33">
        <v>3</v>
      </c>
      <c r="AB47" s="41">
        <v>44204</v>
      </c>
      <c r="AC47" s="89">
        <v>44223</v>
      </c>
      <c r="AD47" s="32"/>
      <c r="AE47" s="35"/>
      <c r="AF47" s="36"/>
      <c r="AG47" s="89"/>
      <c r="AH47" s="32"/>
      <c r="AI47" s="33"/>
      <c r="AJ47" s="36"/>
      <c r="AK47" s="89"/>
      <c r="AL47" s="32"/>
      <c r="AM47" s="33"/>
      <c r="AN47" s="36"/>
      <c r="AO47" s="89"/>
      <c r="AP47" s="32"/>
      <c r="AQ47" s="33"/>
      <c r="AR47" s="36"/>
      <c r="AS47" s="89"/>
      <c r="AT47" s="37">
        <f t="shared" si="1"/>
        <v>20100</v>
      </c>
      <c r="AU47" s="38">
        <f t="shared" si="2"/>
        <v>20100</v>
      </c>
    </row>
    <row r="48" spans="2:47" s="26" customFormat="1" ht="22.5" x14ac:dyDescent="0.25">
      <c r="B48" s="27">
        <v>33</v>
      </c>
      <c r="C48" s="27" t="s">
        <v>39</v>
      </c>
      <c r="D48" s="110">
        <v>30349285</v>
      </c>
      <c r="E48" s="29" t="s">
        <v>418</v>
      </c>
      <c r="F48" s="29" t="s">
        <v>54</v>
      </c>
      <c r="G48" s="30" t="s">
        <v>329</v>
      </c>
      <c r="H48" s="42" t="s">
        <v>377</v>
      </c>
      <c r="I48" s="88" t="s">
        <v>57</v>
      </c>
      <c r="J48" s="88">
        <v>416602</v>
      </c>
      <c r="K48" s="31">
        <v>403052</v>
      </c>
      <c r="L48" s="31">
        <v>0</v>
      </c>
      <c r="M48" s="31">
        <v>0</v>
      </c>
      <c r="N48" s="31">
        <v>0</v>
      </c>
      <c r="O48" s="31">
        <v>0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ref="Y48:Y79" si="3">SUM(M48:X48)</f>
        <v>0</v>
      </c>
      <c r="Z48" s="32">
        <v>13185</v>
      </c>
      <c r="AA48" s="33">
        <v>5</v>
      </c>
      <c r="AB48" s="41">
        <v>44209</v>
      </c>
      <c r="AC48" s="89">
        <v>44225</v>
      </c>
      <c r="AD48" s="32"/>
      <c r="AE48" s="35"/>
      <c r="AF48" s="36"/>
      <c r="AG48" s="89"/>
      <c r="AH48" s="32"/>
      <c r="AI48" s="33"/>
      <c r="AJ48" s="36"/>
      <c r="AK48" s="89"/>
      <c r="AL48" s="32"/>
      <c r="AM48" s="33"/>
      <c r="AN48" s="36"/>
      <c r="AO48" s="89"/>
      <c r="AP48" s="32"/>
      <c r="AQ48" s="33"/>
      <c r="AR48" s="36"/>
      <c r="AS48" s="89"/>
      <c r="AT48" s="37">
        <f t="shared" ref="AT48:AT79" si="4">+Z48+AD48+AH48+AL48+AP48</f>
        <v>13185</v>
      </c>
      <c r="AU48" s="38">
        <f t="shared" ref="AU48:AU79" si="5">+AT48-Y48</f>
        <v>13185</v>
      </c>
    </row>
    <row r="49" spans="2:47" s="26" customFormat="1" x14ac:dyDescent="0.25">
      <c r="B49" s="27">
        <v>34</v>
      </c>
      <c r="C49" s="27" t="s">
        <v>39</v>
      </c>
      <c r="D49" s="110">
        <v>30095372</v>
      </c>
      <c r="E49" s="29" t="s">
        <v>417</v>
      </c>
      <c r="F49" s="29" t="s">
        <v>54</v>
      </c>
      <c r="G49" s="30" t="s">
        <v>329</v>
      </c>
      <c r="H49" s="42" t="s">
        <v>394</v>
      </c>
      <c r="I49" s="88" t="s">
        <v>57</v>
      </c>
      <c r="J49" s="88">
        <v>1244179</v>
      </c>
      <c r="K49" s="31">
        <v>1229479</v>
      </c>
      <c r="L49" s="31">
        <v>0</v>
      </c>
      <c r="M49" s="31">
        <v>0</v>
      </c>
      <c r="N49" s="31">
        <v>0</v>
      </c>
      <c r="O49" s="31">
        <v>0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3"/>
        <v>0</v>
      </c>
      <c r="Z49" s="32">
        <v>5197</v>
      </c>
      <c r="AA49" s="33">
        <v>5</v>
      </c>
      <c r="AB49" s="41">
        <v>44209</v>
      </c>
      <c r="AC49" s="89">
        <v>44225</v>
      </c>
      <c r="AD49" s="32"/>
      <c r="AE49" s="35"/>
      <c r="AF49" s="36"/>
      <c r="AG49" s="89"/>
      <c r="AH49" s="32"/>
      <c r="AI49" s="33"/>
      <c r="AJ49" s="36"/>
      <c r="AK49" s="89"/>
      <c r="AL49" s="32"/>
      <c r="AM49" s="33"/>
      <c r="AN49" s="36"/>
      <c r="AO49" s="89"/>
      <c r="AP49" s="32"/>
      <c r="AQ49" s="33"/>
      <c r="AR49" s="36"/>
      <c r="AS49" s="89"/>
      <c r="AT49" s="37">
        <f t="shared" si="4"/>
        <v>5197</v>
      </c>
      <c r="AU49" s="38">
        <f t="shared" si="5"/>
        <v>5197</v>
      </c>
    </row>
    <row r="50" spans="2:47" s="26" customFormat="1" ht="22.5" x14ac:dyDescent="0.25">
      <c r="B50" s="27">
        <v>35</v>
      </c>
      <c r="C50" s="27" t="s">
        <v>39</v>
      </c>
      <c r="D50" s="110">
        <v>30483533</v>
      </c>
      <c r="E50" s="29" t="s">
        <v>416</v>
      </c>
      <c r="F50" s="29" t="s">
        <v>60</v>
      </c>
      <c r="G50" s="30" t="s">
        <v>329</v>
      </c>
      <c r="H50" s="42" t="s">
        <v>337</v>
      </c>
      <c r="I50" s="88" t="s">
        <v>57</v>
      </c>
      <c r="J50" s="88">
        <v>44058</v>
      </c>
      <c r="K50" s="31">
        <v>23714</v>
      </c>
      <c r="L50" s="31">
        <v>0</v>
      </c>
      <c r="M50" s="31">
        <v>0</v>
      </c>
      <c r="N50" s="31">
        <v>0</v>
      </c>
      <c r="O50" s="31">
        <v>0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3"/>
        <v>0</v>
      </c>
      <c r="Z50" s="32">
        <v>20127</v>
      </c>
      <c r="AA50" s="33">
        <v>5</v>
      </c>
      <c r="AB50" s="41">
        <v>44209</v>
      </c>
      <c r="AC50" s="89">
        <v>44225</v>
      </c>
      <c r="AD50" s="32"/>
      <c r="AE50" s="35"/>
      <c r="AF50" s="36"/>
      <c r="AG50" s="89"/>
      <c r="AH50" s="32"/>
      <c r="AI50" s="33"/>
      <c r="AJ50" s="36"/>
      <c r="AK50" s="89"/>
      <c r="AL50" s="32"/>
      <c r="AM50" s="33"/>
      <c r="AN50" s="36"/>
      <c r="AO50" s="89"/>
      <c r="AP50" s="32"/>
      <c r="AQ50" s="33"/>
      <c r="AR50" s="36"/>
      <c r="AS50" s="89"/>
      <c r="AT50" s="37">
        <f t="shared" si="4"/>
        <v>20127</v>
      </c>
      <c r="AU50" s="38">
        <f t="shared" si="5"/>
        <v>20127</v>
      </c>
    </row>
    <row r="51" spans="2:47" s="26" customFormat="1" ht="22.5" x14ac:dyDescent="0.25">
      <c r="B51" s="27">
        <v>36</v>
      </c>
      <c r="C51" s="27" t="s">
        <v>39</v>
      </c>
      <c r="D51" s="110">
        <v>30113923</v>
      </c>
      <c r="E51" s="29" t="s">
        <v>415</v>
      </c>
      <c r="F51" s="29" t="s">
        <v>54</v>
      </c>
      <c r="G51" s="30" t="s">
        <v>329</v>
      </c>
      <c r="H51" s="42" t="s">
        <v>345</v>
      </c>
      <c r="I51" s="88" t="s">
        <v>57</v>
      </c>
      <c r="J51" s="88">
        <v>2167291</v>
      </c>
      <c r="K51" s="31">
        <v>41283</v>
      </c>
      <c r="L51" s="31">
        <v>0</v>
      </c>
      <c r="M51" s="31">
        <v>0</v>
      </c>
      <c r="N51" s="31">
        <v>3700</v>
      </c>
      <c r="O51" s="31">
        <v>133593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3"/>
        <v>137293</v>
      </c>
      <c r="Z51" s="32">
        <v>650002</v>
      </c>
      <c r="AA51" s="33">
        <v>5</v>
      </c>
      <c r="AB51" s="41">
        <v>44209</v>
      </c>
      <c r="AC51" s="89">
        <v>44225</v>
      </c>
      <c r="AD51" s="32"/>
      <c r="AE51" s="35"/>
      <c r="AF51" s="36"/>
      <c r="AG51" s="89"/>
      <c r="AH51" s="32"/>
      <c r="AI51" s="33"/>
      <c r="AJ51" s="36"/>
      <c r="AK51" s="89"/>
      <c r="AL51" s="32"/>
      <c r="AM51" s="33"/>
      <c r="AN51" s="36"/>
      <c r="AO51" s="89"/>
      <c r="AP51" s="32"/>
      <c r="AQ51" s="33"/>
      <c r="AR51" s="36"/>
      <c r="AS51" s="89"/>
      <c r="AT51" s="37">
        <f t="shared" si="4"/>
        <v>650002</v>
      </c>
      <c r="AU51" s="38">
        <f t="shared" si="5"/>
        <v>512709</v>
      </c>
    </row>
    <row r="52" spans="2:47" s="26" customFormat="1" ht="22.5" x14ac:dyDescent="0.25">
      <c r="B52" s="27">
        <v>37</v>
      </c>
      <c r="C52" s="27" t="s">
        <v>39</v>
      </c>
      <c r="D52" s="110">
        <v>30109822</v>
      </c>
      <c r="E52" s="29" t="s">
        <v>414</v>
      </c>
      <c r="F52" s="29" t="s">
        <v>60</v>
      </c>
      <c r="G52" s="30" t="s">
        <v>329</v>
      </c>
      <c r="H52" s="42" t="s">
        <v>347</v>
      </c>
      <c r="I52" s="88" t="s">
        <v>57</v>
      </c>
      <c r="J52" s="88">
        <v>453882</v>
      </c>
      <c r="K52" s="31">
        <v>406719</v>
      </c>
      <c r="L52" s="31">
        <v>0</v>
      </c>
      <c r="M52" s="31">
        <v>1600</v>
      </c>
      <c r="N52" s="31">
        <v>1600</v>
      </c>
      <c r="O52" s="31">
        <v>1600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3"/>
        <v>4800</v>
      </c>
      <c r="Z52" s="32">
        <v>30000</v>
      </c>
      <c r="AA52" s="33">
        <v>5</v>
      </c>
      <c r="AB52" s="41">
        <v>44209</v>
      </c>
      <c r="AC52" s="89">
        <v>44225</v>
      </c>
      <c r="AD52" s="32"/>
      <c r="AE52" s="35"/>
      <c r="AF52" s="36"/>
      <c r="AG52" s="89"/>
      <c r="AH52" s="32"/>
      <c r="AI52" s="33"/>
      <c r="AJ52" s="36"/>
      <c r="AK52" s="89"/>
      <c r="AL52" s="32"/>
      <c r="AM52" s="33"/>
      <c r="AN52" s="36"/>
      <c r="AO52" s="89"/>
      <c r="AP52" s="32"/>
      <c r="AQ52" s="33"/>
      <c r="AR52" s="36"/>
      <c r="AS52" s="89"/>
      <c r="AT52" s="37">
        <f t="shared" si="4"/>
        <v>30000</v>
      </c>
      <c r="AU52" s="38">
        <f t="shared" si="5"/>
        <v>25200</v>
      </c>
    </row>
    <row r="53" spans="2:47" s="26" customFormat="1" ht="22.5" x14ac:dyDescent="0.25">
      <c r="B53" s="27">
        <v>38</v>
      </c>
      <c r="C53" s="27" t="s">
        <v>39</v>
      </c>
      <c r="D53" s="110">
        <v>30107311</v>
      </c>
      <c r="E53" s="29" t="s">
        <v>413</v>
      </c>
      <c r="F53" s="29" t="s">
        <v>60</v>
      </c>
      <c r="G53" s="30" t="s">
        <v>329</v>
      </c>
      <c r="H53" s="42" t="s">
        <v>351</v>
      </c>
      <c r="I53" s="88" t="s">
        <v>57</v>
      </c>
      <c r="J53" s="88">
        <v>159174</v>
      </c>
      <c r="K53" s="31">
        <v>85122</v>
      </c>
      <c r="L53" s="31">
        <v>0</v>
      </c>
      <c r="M53" s="31">
        <v>0</v>
      </c>
      <c r="N53" s="31">
        <v>0</v>
      </c>
      <c r="O53" s="31"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3"/>
        <v>0</v>
      </c>
      <c r="Z53" s="32">
        <v>50000</v>
      </c>
      <c r="AA53" s="33">
        <v>5</v>
      </c>
      <c r="AB53" s="41">
        <v>44209</v>
      </c>
      <c r="AC53" s="89">
        <v>44225</v>
      </c>
      <c r="AD53" s="32"/>
      <c r="AE53" s="35"/>
      <c r="AF53" s="36"/>
      <c r="AG53" s="89"/>
      <c r="AH53" s="32"/>
      <c r="AI53" s="33"/>
      <c r="AJ53" s="36"/>
      <c r="AK53" s="89"/>
      <c r="AL53" s="32"/>
      <c r="AM53" s="33"/>
      <c r="AN53" s="36"/>
      <c r="AO53" s="89"/>
      <c r="AP53" s="32"/>
      <c r="AQ53" s="33"/>
      <c r="AR53" s="36"/>
      <c r="AS53" s="89"/>
      <c r="AT53" s="37">
        <f t="shared" si="4"/>
        <v>50000</v>
      </c>
      <c r="AU53" s="38">
        <f t="shared" si="5"/>
        <v>50000</v>
      </c>
    </row>
    <row r="54" spans="2:47" s="26" customFormat="1" ht="22.5" x14ac:dyDescent="0.25">
      <c r="B54" s="27">
        <v>39</v>
      </c>
      <c r="C54" s="27" t="s">
        <v>39</v>
      </c>
      <c r="D54" s="110">
        <v>30109018</v>
      </c>
      <c r="E54" s="29" t="s">
        <v>412</v>
      </c>
      <c r="F54" s="29" t="s">
        <v>60</v>
      </c>
      <c r="G54" s="30" t="s">
        <v>329</v>
      </c>
      <c r="H54" s="42" t="s">
        <v>349</v>
      </c>
      <c r="I54" s="88" t="s">
        <v>57</v>
      </c>
      <c r="J54" s="88">
        <v>347806</v>
      </c>
      <c r="K54" s="31">
        <v>224949</v>
      </c>
      <c r="L54" s="31">
        <v>0</v>
      </c>
      <c r="M54" s="31">
        <v>0</v>
      </c>
      <c r="N54" s="31">
        <v>0</v>
      </c>
      <c r="O54" s="31"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3"/>
        <v>0</v>
      </c>
      <c r="Z54" s="32">
        <v>50001</v>
      </c>
      <c r="AA54" s="33">
        <v>5</v>
      </c>
      <c r="AB54" s="41">
        <v>44209</v>
      </c>
      <c r="AC54" s="89">
        <v>44225</v>
      </c>
      <c r="AD54" s="32"/>
      <c r="AE54" s="35"/>
      <c r="AF54" s="36"/>
      <c r="AG54" s="89"/>
      <c r="AH54" s="32"/>
      <c r="AI54" s="33"/>
      <c r="AJ54" s="36"/>
      <c r="AK54" s="89"/>
      <c r="AL54" s="32"/>
      <c r="AM54" s="33"/>
      <c r="AN54" s="36"/>
      <c r="AO54" s="89"/>
      <c r="AP54" s="32"/>
      <c r="AQ54" s="33"/>
      <c r="AR54" s="36"/>
      <c r="AS54" s="89"/>
      <c r="AT54" s="37">
        <f t="shared" si="4"/>
        <v>50001</v>
      </c>
      <c r="AU54" s="38">
        <f t="shared" si="5"/>
        <v>50001</v>
      </c>
    </row>
    <row r="55" spans="2:47" s="26" customFormat="1" ht="21" customHeight="1" x14ac:dyDescent="0.25">
      <c r="B55" s="27">
        <v>40</v>
      </c>
      <c r="C55" s="27" t="s">
        <v>39</v>
      </c>
      <c r="D55" s="110">
        <v>30486958</v>
      </c>
      <c r="E55" s="29" t="s">
        <v>411</v>
      </c>
      <c r="F55" s="29" t="s">
        <v>54</v>
      </c>
      <c r="G55" s="30" t="s">
        <v>329</v>
      </c>
      <c r="H55" s="42" t="s">
        <v>373</v>
      </c>
      <c r="I55" s="88" t="s">
        <v>57</v>
      </c>
      <c r="J55" s="88">
        <v>579599</v>
      </c>
      <c r="K55" s="31">
        <v>154829</v>
      </c>
      <c r="L55" s="31">
        <v>0</v>
      </c>
      <c r="M55" s="31">
        <v>34203</v>
      </c>
      <c r="N55" s="31">
        <v>22582</v>
      </c>
      <c r="O55" s="31">
        <v>66774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3"/>
        <v>123559</v>
      </c>
      <c r="Z55" s="32">
        <v>260002</v>
      </c>
      <c r="AA55" s="33">
        <v>5</v>
      </c>
      <c r="AB55" s="41">
        <v>44209</v>
      </c>
      <c r="AC55" s="89">
        <v>44225</v>
      </c>
      <c r="AD55" s="32"/>
      <c r="AE55" s="35"/>
      <c r="AF55" s="36"/>
      <c r="AG55" s="89"/>
      <c r="AH55" s="32"/>
      <c r="AI55" s="33"/>
      <c r="AJ55" s="36"/>
      <c r="AK55" s="89"/>
      <c r="AL55" s="32"/>
      <c r="AM55" s="33"/>
      <c r="AN55" s="36"/>
      <c r="AO55" s="89"/>
      <c r="AP55" s="32"/>
      <c r="AQ55" s="33"/>
      <c r="AR55" s="36"/>
      <c r="AS55" s="89"/>
      <c r="AT55" s="37">
        <f t="shared" si="4"/>
        <v>260002</v>
      </c>
      <c r="AU55" s="38">
        <f t="shared" si="5"/>
        <v>136443</v>
      </c>
    </row>
    <row r="56" spans="2:47" s="26" customFormat="1" ht="22.5" x14ac:dyDescent="0.25">
      <c r="B56" s="27">
        <v>41</v>
      </c>
      <c r="C56" s="27" t="s">
        <v>39</v>
      </c>
      <c r="D56" s="110">
        <v>40016644</v>
      </c>
      <c r="E56" s="29" t="s">
        <v>410</v>
      </c>
      <c r="F56" s="29" t="s">
        <v>54</v>
      </c>
      <c r="G56" s="30" t="s">
        <v>329</v>
      </c>
      <c r="H56" s="42" t="s">
        <v>349</v>
      </c>
      <c r="I56" s="88" t="s">
        <v>57</v>
      </c>
      <c r="J56" s="88">
        <v>496040</v>
      </c>
      <c r="K56" s="31">
        <v>5726</v>
      </c>
      <c r="L56" s="31">
        <v>0</v>
      </c>
      <c r="M56" s="31">
        <v>1200</v>
      </c>
      <c r="N56" s="31">
        <v>1200</v>
      </c>
      <c r="O56" s="31">
        <v>1200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3"/>
        <v>3600</v>
      </c>
      <c r="Z56" s="32">
        <v>310002</v>
      </c>
      <c r="AA56" s="33">
        <v>5</v>
      </c>
      <c r="AB56" s="41">
        <v>44209</v>
      </c>
      <c r="AC56" s="89">
        <v>44225</v>
      </c>
      <c r="AD56" s="32"/>
      <c r="AE56" s="35"/>
      <c r="AF56" s="36"/>
      <c r="AG56" s="89"/>
      <c r="AH56" s="32"/>
      <c r="AI56" s="33"/>
      <c r="AJ56" s="36"/>
      <c r="AK56" s="89"/>
      <c r="AL56" s="32"/>
      <c r="AM56" s="33"/>
      <c r="AN56" s="36"/>
      <c r="AO56" s="89"/>
      <c r="AP56" s="32"/>
      <c r="AQ56" s="33"/>
      <c r="AR56" s="36"/>
      <c r="AS56" s="89"/>
      <c r="AT56" s="37">
        <f t="shared" si="4"/>
        <v>310002</v>
      </c>
      <c r="AU56" s="38">
        <f t="shared" si="5"/>
        <v>306402</v>
      </c>
    </row>
    <row r="57" spans="2:47" s="26" customFormat="1" ht="22.5" x14ac:dyDescent="0.25">
      <c r="B57" s="27">
        <v>42</v>
      </c>
      <c r="C57" s="27" t="s">
        <v>39</v>
      </c>
      <c r="D57" s="110">
        <v>40020208</v>
      </c>
      <c r="E57" s="29" t="s">
        <v>409</v>
      </c>
      <c r="F57" s="29" t="s">
        <v>54</v>
      </c>
      <c r="G57" s="30" t="s">
        <v>329</v>
      </c>
      <c r="H57" s="42" t="s">
        <v>349</v>
      </c>
      <c r="I57" s="88" t="s">
        <v>57</v>
      </c>
      <c r="J57" s="88">
        <v>575604</v>
      </c>
      <c r="K57" s="31">
        <v>27295</v>
      </c>
      <c r="L57" s="31">
        <v>0</v>
      </c>
      <c r="M57" s="31">
        <v>1286</v>
      </c>
      <c r="N57" s="31">
        <v>64587</v>
      </c>
      <c r="O57" s="31">
        <v>1286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3"/>
        <v>67159</v>
      </c>
      <c r="Z57" s="32">
        <v>359345</v>
      </c>
      <c r="AA57" s="33">
        <v>5</v>
      </c>
      <c r="AB57" s="41">
        <v>44209</v>
      </c>
      <c r="AC57" s="89">
        <v>44225</v>
      </c>
      <c r="AD57" s="32"/>
      <c r="AE57" s="35"/>
      <c r="AF57" s="36"/>
      <c r="AG57" s="89"/>
      <c r="AH57" s="32"/>
      <c r="AI57" s="33"/>
      <c r="AJ57" s="36"/>
      <c r="AK57" s="89"/>
      <c r="AL57" s="32"/>
      <c r="AM57" s="33"/>
      <c r="AN57" s="36"/>
      <c r="AO57" s="89"/>
      <c r="AP57" s="32"/>
      <c r="AQ57" s="33"/>
      <c r="AR57" s="36"/>
      <c r="AS57" s="89"/>
      <c r="AT57" s="37">
        <f t="shared" si="4"/>
        <v>359345</v>
      </c>
      <c r="AU57" s="38">
        <f t="shared" si="5"/>
        <v>292186</v>
      </c>
    </row>
    <row r="58" spans="2:47" s="26" customFormat="1" ht="22.5" x14ac:dyDescent="0.25">
      <c r="B58" s="27">
        <v>43</v>
      </c>
      <c r="C58" s="27" t="s">
        <v>39</v>
      </c>
      <c r="D58" s="110">
        <v>30086714</v>
      </c>
      <c r="E58" s="29" t="s">
        <v>408</v>
      </c>
      <c r="F58" s="29" t="s">
        <v>54</v>
      </c>
      <c r="G58" s="30" t="s">
        <v>329</v>
      </c>
      <c r="H58" s="42" t="s">
        <v>351</v>
      </c>
      <c r="I58" s="88" t="s">
        <v>57</v>
      </c>
      <c r="J58" s="88">
        <v>6938189</v>
      </c>
      <c r="K58" s="31">
        <v>1255986</v>
      </c>
      <c r="L58" s="31">
        <v>10</v>
      </c>
      <c r="M58" s="31">
        <v>111785</v>
      </c>
      <c r="N58" s="31">
        <v>117550</v>
      </c>
      <c r="O58" s="31">
        <v>110945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3"/>
        <v>340280</v>
      </c>
      <c r="Z58" s="32">
        <v>2020002</v>
      </c>
      <c r="AA58" s="33">
        <v>5</v>
      </c>
      <c r="AB58" s="41">
        <v>44209</v>
      </c>
      <c r="AC58" s="89">
        <v>44225</v>
      </c>
      <c r="AD58" s="32">
        <v>99200</v>
      </c>
      <c r="AE58" s="35">
        <v>10</v>
      </c>
      <c r="AF58" s="41">
        <v>44218</v>
      </c>
      <c r="AG58" s="89">
        <v>44239</v>
      </c>
      <c r="AH58" s="32"/>
      <c r="AI58" s="33"/>
      <c r="AJ58" s="36"/>
      <c r="AK58" s="89"/>
      <c r="AL58" s="32"/>
      <c r="AM58" s="33"/>
      <c r="AN58" s="36"/>
      <c r="AO58" s="89"/>
      <c r="AP58" s="32"/>
      <c r="AQ58" s="33"/>
      <c r="AR58" s="36"/>
      <c r="AS58" s="89"/>
      <c r="AT58" s="37">
        <f t="shared" si="4"/>
        <v>2119202</v>
      </c>
      <c r="AU58" s="38">
        <f t="shared" si="5"/>
        <v>1778922</v>
      </c>
    </row>
    <row r="59" spans="2:47" s="26" customFormat="1" ht="22.5" x14ac:dyDescent="0.25">
      <c r="B59" s="27">
        <v>44</v>
      </c>
      <c r="C59" s="27" t="s">
        <v>39</v>
      </c>
      <c r="D59" s="110">
        <v>30071098</v>
      </c>
      <c r="E59" s="29" t="s">
        <v>407</v>
      </c>
      <c r="F59" s="29" t="s">
        <v>60</v>
      </c>
      <c r="G59" s="30" t="s">
        <v>329</v>
      </c>
      <c r="H59" s="42" t="s">
        <v>340</v>
      </c>
      <c r="I59" s="88" t="s">
        <v>57</v>
      </c>
      <c r="J59" s="88">
        <v>243780</v>
      </c>
      <c r="K59" s="31">
        <v>159001</v>
      </c>
      <c r="L59" s="31">
        <v>20410</v>
      </c>
      <c r="M59" s="31">
        <v>0</v>
      </c>
      <c r="N59" s="31">
        <v>0</v>
      </c>
      <c r="O59" s="31">
        <v>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3"/>
        <v>0</v>
      </c>
      <c r="Z59" s="32">
        <v>60000</v>
      </c>
      <c r="AA59" s="33">
        <v>6</v>
      </c>
      <c r="AB59" s="41">
        <v>44209</v>
      </c>
      <c r="AC59" s="89">
        <v>44225</v>
      </c>
      <c r="AD59" s="32"/>
      <c r="AE59" s="35"/>
      <c r="AF59" s="36"/>
      <c r="AG59" s="89"/>
      <c r="AH59" s="32"/>
      <c r="AI59" s="33"/>
      <c r="AJ59" s="36"/>
      <c r="AK59" s="89"/>
      <c r="AL59" s="32"/>
      <c r="AM59" s="33"/>
      <c r="AN59" s="36"/>
      <c r="AO59" s="89"/>
      <c r="AP59" s="32"/>
      <c r="AQ59" s="33"/>
      <c r="AR59" s="36"/>
      <c r="AS59" s="89"/>
      <c r="AT59" s="37">
        <f t="shared" si="4"/>
        <v>60000</v>
      </c>
      <c r="AU59" s="38">
        <f t="shared" si="5"/>
        <v>60000</v>
      </c>
    </row>
    <row r="60" spans="2:47" s="26" customFormat="1" ht="22.5" x14ac:dyDescent="0.25">
      <c r="B60" s="27">
        <v>45</v>
      </c>
      <c r="C60" s="27" t="s">
        <v>39</v>
      </c>
      <c r="D60" s="110">
        <v>30103018</v>
      </c>
      <c r="E60" s="29" t="s">
        <v>406</v>
      </c>
      <c r="F60" s="29" t="s">
        <v>60</v>
      </c>
      <c r="G60" s="30" t="s">
        <v>329</v>
      </c>
      <c r="H60" s="42" t="s">
        <v>351</v>
      </c>
      <c r="I60" s="88" t="s">
        <v>57</v>
      </c>
      <c r="J60" s="88">
        <v>215023</v>
      </c>
      <c r="K60" s="31">
        <v>9082</v>
      </c>
      <c r="L60" s="31">
        <v>1442</v>
      </c>
      <c r="M60" s="31">
        <v>0</v>
      </c>
      <c r="N60" s="31">
        <v>0</v>
      </c>
      <c r="O60" s="31">
        <v>0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3"/>
        <v>0</v>
      </c>
      <c r="Z60" s="32">
        <v>50000</v>
      </c>
      <c r="AA60" s="33">
        <v>6</v>
      </c>
      <c r="AB60" s="41">
        <v>44209</v>
      </c>
      <c r="AC60" s="89">
        <v>44225</v>
      </c>
      <c r="AD60" s="32"/>
      <c r="AE60" s="35"/>
      <c r="AF60" s="36"/>
      <c r="AG60" s="89"/>
      <c r="AH60" s="32"/>
      <c r="AI60" s="33"/>
      <c r="AJ60" s="36"/>
      <c r="AK60" s="89"/>
      <c r="AL60" s="32"/>
      <c r="AM60" s="33"/>
      <c r="AN60" s="36"/>
      <c r="AO60" s="89"/>
      <c r="AP60" s="32"/>
      <c r="AQ60" s="33"/>
      <c r="AR60" s="36"/>
      <c r="AS60" s="89"/>
      <c r="AT60" s="37">
        <f t="shared" si="4"/>
        <v>50000</v>
      </c>
      <c r="AU60" s="38">
        <f t="shared" si="5"/>
        <v>50000</v>
      </c>
    </row>
    <row r="61" spans="2:47" s="26" customFormat="1" ht="22.5" x14ac:dyDescent="0.25">
      <c r="B61" s="27">
        <v>46</v>
      </c>
      <c r="C61" s="27" t="s">
        <v>39</v>
      </c>
      <c r="D61" s="110">
        <v>30093342</v>
      </c>
      <c r="E61" s="29" t="s">
        <v>405</v>
      </c>
      <c r="F61" s="29" t="s">
        <v>60</v>
      </c>
      <c r="G61" s="30" t="s">
        <v>329</v>
      </c>
      <c r="H61" s="42" t="s">
        <v>351</v>
      </c>
      <c r="I61" s="88" t="s">
        <v>57</v>
      </c>
      <c r="J61" s="88">
        <v>225244</v>
      </c>
      <c r="K61" s="31">
        <v>12999</v>
      </c>
      <c r="L61" s="31">
        <v>7745</v>
      </c>
      <c r="M61" s="31">
        <v>0</v>
      </c>
      <c r="N61" s="31">
        <v>0</v>
      </c>
      <c r="O61" s="31">
        <v>0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3"/>
        <v>0</v>
      </c>
      <c r="Z61" s="32">
        <v>60000</v>
      </c>
      <c r="AA61" s="33">
        <v>6</v>
      </c>
      <c r="AB61" s="41">
        <v>44209</v>
      </c>
      <c r="AC61" s="89">
        <v>44225</v>
      </c>
      <c r="AD61" s="32"/>
      <c r="AE61" s="35"/>
      <c r="AF61" s="36"/>
      <c r="AG61" s="89"/>
      <c r="AH61" s="32"/>
      <c r="AI61" s="33"/>
      <c r="AJ61" s="36"/>
      <c r="AK61" s="89"/>
      <c r="AL61" s="32"/>
      <c r="AM61" s="33"/>
      <c r="AN61" s="36"/>
      <c r="AO61" s="89"/>
      <c r="AP61" s="32"/>
      <c r="AQ61" s="33"/>
      <c r="AR61" s="36"/>
      <c r="AS61" s="89"/>
      <c r="AT61" s="37">
        <f t="shared" si="4"/>
        <v>60000</v>
      </c>
      <c r="AU61" s="38">
        <f t="shared" si="5"/>
        <v>60000</v>
      </c>
    </row>
    <row r="62" spans="2:47" s="26" customFormat="1" ht="22.5" x14ac:dyDescent="0.25">
      <c r="B62" s="27">
        <v>47</v>
      </c>
      <c r="C62" s="27" t="s">
        <v>39</v>
      </c>
      <c r="D62" s="110">
        <v>30110451</v>
      </c>
      <c r="E62" s="29" t="s">
        <v>404</v>
      </c>
      <c r="F62" s="29" t="s">
        <v>54</v>
      </c>
      <c r="G62" s="30" t="s">
        <v>329</v>
      </c>
      <c r="H62" s="42" t="s">
        <v>351</v>
      </c>
      <c r="I62" s="88" t="s">
        <v>57</v>
      </c>
      <c r="J62" s="88">
        <v>1132088</v>
      </c>
      <c r="K62" s="31">
        <v>1053958</v>
      </c>
      <c r="L62" s="31">
        <v>0</v>
      </c>
      <c r="M62" s="31">
        <v>0</v>
      </c>
      <c r="N62" s="31">
        <v>0</v>
      </c>
      <c r="O62" s="31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3"/>
        <v>0</v>
      </c>
      <c r="Z62" s="32">
        <v>85199</v>
      </c>
      <c r="AA62" s="33">
        <v>7</v>
      </c>
      <c r="AB62" s="41">
        <v>44214</v>
      </c>
      <c r="AC62" s="89">
        <v>44229</v>
      </c>
      <c r="AD62" s="32"/>
      <c r="AE62" s="35"/>
      <c r="AF62" s="36"/>
      <c r="AG62" s="89"/>
      <c r="AH62" s="32"/>
      <c r="AI62" s="33"/>
      <c r="AJ62" s="36"/>
      <c r="AK62" s="89"/>
      <c r="AL62" s="32"/>
      <c r="AM62" s="33"/>
      <c r="AN62" s="36"/>
      <c r="AO62" s="89"/>
      <c r="AP62" s="32"/>
      <c r="AQ62" s="33"/>
      <c r="AR62" s="36"/>
      <c r="AS62" s="89"/>
      <c r="AT62" s="37">
        <f t="shared" si="4"/>
        <v>85199</v>
      </c>
      <c r="AU62" s="38">
        <f t="shared" si="5"/>
        <v>85199</v>
      </c>
    </row>
    <row r="63" spans="2:47" s="26" customFormat="1" ht="22.5" x14ac:dyDescent="0.25">
      <c r="B63" s="27">
        <v>48</v>
      </c>
      <c r="C63" s="27" t="s">
        <v>39</v>
      </c>
      <c r="D63" s="110">
        <v>30117057</v>
      </c>
      <c r="E63" s="29" t="s">
        <v>403</v>
      </c>
      <c r="F63" s="29" t="s">
        <v>60</v>
      </c>
      <c r="G63" s="30" t="s">
        <v>329</v>
      </c>
      <c r="H63" s="42" t="s">
        <v>345</v>
      </c>
      <c r="I63" s="88" t="s">
        <v>57</v>
      </c>
      <c r="J63" s="88">
        <v>84245</v>
      </c>
      <c r="K63" s="31">
        <v>53542</v>
      </c>
      <c r="L63" s="31">
        <v>0</v>
      </c>
      <c r="M63" s="31">
        <v>0</v>
      </c>
      <c r="N63" s="31">
        <v>8168</v>
      </c>
      <c r="O63" s="31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3"/>
        <v>8168</v>
      </c>
      <c r="Z63" s="32">
        <v>27079</v>
      </c>
      <c r="AA63" s="33">
        <v>7</v>
      </c>
      <c r="AB63" s="41">
        <v>44214</v>
      </c>
      <c r="AC63" s="89">
        <v>44229</v>
      </c>
      <c r="AD63" s="32"/>
      <c r="AE63" s="35"/>
      <c r="AF63" s="36"/>
      <c r="AG63" s="89"/>
      <c r="AH63" s="32"/>
      <c r="AI63" s="33"/>
      <c r="AJ63" s="36"/>
      <c r="AK63" s="89"/>
      <c r="AL63" s="32"/>
      <c r="AM63" s="33"/>
      <c r="AN63" s="36"/>
      <c r="AO63" s="89"/>
      <c r="AP63" s="32"/>
      <c r="AQ63" s="33"/>
      <c r="AR63" s="36"/>
      <c r="AS63" s="89"/>
      <c r="AT63" s="37">
        <f t="shared" si="4"/>
        <v>27079</v>
      </c>
      <c r="AU63" s="38">
        <f t="shared" si="5"/>
        <v>18911</v>
      </c>
    </row>
    <row r="64" spans="2:47" s="26" customFormat="1" ht="33.75" x14ac:dyDescent="0.25">
      <c r="B64" s="27">
        <v>49</v>
      </c>
      <c r="C64" s="27" t="s">
        <v>39</v>
      </c>
      <c r="D64" s="110">
        <v>30086459</v>
      </c>
      <c r="E64" s="29" t="s">
        <v>402</v>
      </c>
      <c r="F64" s="29" t="s">
        <v>54</v>
      </c>
      <c r="G64" s="30" t="s">
        <v>329</v>
      </c>
      <c r="H64" s="42" t="s">
        <v>330</v>
      </c>
      <c r="I64" s="88" t="s">
        <v>57</v>
      </c>
      <c r="J64" s="88">
        <v>4717535</v>
      </c>
      <c r="K64" s="31">
        <v>295145</v>
      </c>
      <c r="L64" s="31">
        <v>37765</v>
      </c>
      <c r="M64" s="31">
        <v>0</v>
      </c>
      <c r="N64" s="31">
        <v>192132</v>
      </c>
      <c r="O64" s="31">
        <v>382200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3"/>
        <v>574332</v>
      </c>
      <c r="Z64" s="32">
        <v>1512589</v>
      </c>
      <c r="AA64" s="33">
        <v>7</v>
      </c>
      <c r="AB64" s="41">
        <v>44214</v>
      </c>
      <c r="AC64" s="89">
        <v>44229</v>
      </c>
      <c r="AD64" s="32">
        <v>66698</v>
      </c>
      <c r="AE64" s="35">
        <v>12</v>
      </c>
      <c r="AF64" s="41">
        <v>44228</v>
      </c>
      <c r="AG64" s="89">
        <v>44246</v>
      </c>
      <c r="AH64" s="32"/>
      <c r="AI64" s="33"/>
      <c r="AJ64" s="36"/>
      <c r="AK64" s="89"/>
      <c r="AL64" s="32"/>
      <c r="AM64" s="33"/>
      <c r="AN64" s="36"/>
      <c r="AO64" s="89"/>
      <c r="AP64" s="32"/>
      <c r="AQ64" s="33"/>
      <c r="AR64" s="36"/>
      <c r="AS64" s="89"/>
      <c r="AT64" s="37">
        <f t="shared" si="4"/>
        <v>1579287</v>
      </c>
      <c r="AU64" s="38">
        <f t="shared" si="5"/>
        <v>1004955</v>
      </c>
    </row>
    <row r="65" spans="2:47" s="26" customFormat="1" ht="22.5" x14ac:dyDescent="0.25">
      <c r="B65" s="27">
        <v>50</v>
      </c>
      <c r="C65" s="27" t="s">
        <v>39</v>
      </c>
      <c r="D65" s="110">
        <v>30355582</v>
      </c>
      <c r="E65" s="29" t="s">
        <v>401</v>
      </c>
      <c r="F65" s="29" t="s">
        <v>54</v>
      </c>
      <c r="G65" s="30" t="s">
        <v>329</v>
      </c>
      <c r="H65" s="42" t="s">
        <v>351</v>
      </c>
      <c r="I65" s="88" t="s">
        <v>57</v>
      </c>
      <c r="J65" s="88">
        <v>2044931</v>
      </c>
      <c r="K65" s="31">
        <v>143276</v>
      </c>
      <c r="L65" s="31">
        <v>0</v>
      </c>
      <c r="M65" s="31">
        <v>0</v>
      </c>
      <c r="N65" s="31">
        <v>1533</v>
      </c>
      <c r="O65" s="31">
        <v>141991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3"/>
        <v>143524</v>
      </c>
      <c r="Z65" s="32">
        <v>1079136</v>
      </c>
      <c r="AA65" s="33">
        <v>8</v>
      </c>
      <c r="AB65" s="41">
        <v>44215</v>
      </c>
      <c r="AC65" s="89">
        <v>44231</v>
      </c>
      <c r="AD65" s="32"/>
      <c r="AE65" s="35"/>
      <c r="AF65" s="36"/>
      <c r="AG65" s="89"/>
      <c r="AH65" s="32"/>
      <c r="AI65" s="33"/>
      <c r="AJ65" s="36"/>
      <c r="AK65" s="89"/>
      <c r="AL65" s="32"/>
      <c r="AM65" s="33"/>
      <c r="AN65" s="36"/>
      <c r="AO65" s="89"/>
      <c r="AP65" s="32"/>
      <c r="AQ65" s="33"/>
      <c r="AR65" s="36"/>
      <c r="AS65" s="89"/>
      <c r="AT65" s="37">
        <f t="shared" si="4"/>
        <v>1079136</v>
      </c>
      <c r="AU65" s="38">
        <f t="shared" si="5"/>
        <v>935612</v>
      </c>
    </row>
    <row r="66" spans="2:47" s="26" customFormat="1" ht="22.5" x14ac:dyDescent="0.25">
      <c r="B66" s="27">
        <v>51</v>
      </c>
      <c r="C66" s="27" t="s">
        <v>39</v>
      </c>
      <c r="D66" s="110">
        <v>30129627</v>
      </c>
      <c r="E66" s="29" t="s">
        <v>400</v>
      </c>
      <c r="F66" s="29" t="s">
        <v>54</v>
      </c>
      <c r="G66" s="30" t="s">
        <v>329</v>
      </c>
      <c r="H66" s="42" t="s">
        <v>347</v>
      </c>
      <c r="I66" s="88" t="s">
        <v>57</v>
      </c>
      <c r="J66" s="88">
        <v>632882</v>
      </c>
      <c r="K66" s="31">
        <v>404715</v>
      </c>
      <c r="L66" s="31">
        <v>0</v>
      </c>
      <c r="M66" s="31">
        <v>0</v>
      </c>
      <c r="N66" s="31">
        <v>1900</v>
      </c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3"/>
        <v>1900</v>
      </c>
      <c r="Z66" s="32">
        <v>205870</v>
      </c>
      <c r="AA66" s="33">
        <v>8</v>
      </c>
      <c r="AB66" s="41">
        <v>44215</v>
      </c>
      <c r="AC66" s="89">
        <v>44231</v>
      </c>
      <c r="AD66" s="32">
        <v>124962</v>
      </c>
      <c r="AE66" s="35">
        <v>16</v>
      </c>
      <c r="AF66" s="41">
        <v>44245</v>
      </c>
      <c r="AG66" s="89">
        <v>44267</v>
      </c>
      <c r="AH66" s="32">
        <v>-180962</v>
      </c>
      <c r="AI66" s="33">
        <v>29</v>
      </c>
      <c r="AJ66" s="41">
        <v>44270</v>
      </c>
      <c r="AK66" s="89">
        <v>44286</v>
      </c>
      <c r="AL66" s="32"/>
      <c r="AM66" s="33"/>
      <c r="AN66" s="36"/>
      <c r="AO66" s="89"/>
      <c r="AP66" s="32"/>
      <c r="AQ66" s="33"/>
      <c r="AR66" s="36"/>
      <c r="AS66" s="89"/>
      <c r="AT66" s="37">
        <f t="shared" si="4"/>
        <v>149870</v>
      </c>
      <c r="AU66" s="38">
        <f t="shared" si="5"/>
        <v>147970</v>
      </c>
    </row>
    <row r="67" spans="2:47" s="26" customFormat="1" ht="22.5" x14ac:dyDescent="0.25">
      <c r="B67" s="27">
        <v>52</v>
      </c>
      <c r="C67" s="27" t="s">
        <v>39</v>
      </c>
      <c r="D67" s="110">
        <v>30484239</v>
      </c>
      <c r="E67" s="29" t="s">
        <v>399</v>
      </c>
      <c r="F67" s="29" t="s">
        <v>54</v>
      </c>
      <c r="G67" s="30" t="s">
        <v>329</v>
      </c>
      <c r="H67" s="42" t="s">
        <v>347</v>
      </c>
      <c r="I67" s="88" t="s">
        <v>57</v>
      </c>
      <c r="J67" s="88">
        <v>460227</v>
      </c>
      <c r="K67" s="31">
        <v>279037</v>
      </c>
      <c r="L67" s="31">
        <v>0</v>
      </c>
      <c r="M67" s="31">
        <v>0</v>
      </c>
      <c r="N67" s="31">
        <v>3371</v>
      </c>
      <c r="O67" s="31">
        <v>42292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3"/>
        <v>45663</v>
      </c>
      <c r="Z67" s="32">
        <v>167570</v>
      </c>
      <c r="AA67" s="33">
        <v>8</v>
      </c>
      <c r="AB67" s="41">
        <v>44215</v>
      </c>
      <c r="AC67" s="89">
        <v>44231</v>
      </c>
      <c r="AD67" s="32"/>
      <c r="AE67" s="35"/>
      <c r="AF67" s="36"/>
      <c r="AG67" s="89"/>
      <c r="AH67" s="32"/>
      <c r="AI67" s="33"/>
      <c r="AJ67" s="36"/>
      <c r="AK67" s="89"/>
      <c r="AL67" s="32"/>
      <c r="AM67" s="33"/>
      <c r="AN67" s="36"/>
      <c r="AO67" s="89"/>
      <c r="AP67" s="32"/>
      <c r="AQ67" s="33"/>
      <c r="AR67" s="36"/>
      <c r="AS67" s="89"/>
      <c r="AT67" s="37">
        <f t="shared" si="4"/>
        <v>167570</v>
      </c>
      <c r="AU67" s="38">
        <f t="shared" si="5"/>
        <v>121907</v>
      </c>
    </row>
    <row r="68" spans="2:47" s="26" customFormat="1" x14ac:dyDescent="0.25">
      <c r="B68" s="27">
        <v>53</v>
      </c>
      <c r="C68" s="27" t="s">
        <v>39</v>
      </c>
      <c r="D68" s="110">
        <v>30137674</v>
      </c>
      <c r="E68" s="29" t="s">
        <v>398</v>
      </c>
      <c r="F68" s="29" t="s">
        <v>54</v>
      </c>
      <c r="G68" s="30" t="s">
        <v>329</v>
      </c>
      <c r="H68" s="42" t="s">
        <v>351</v>
      </c>
      <c r="I68" s="88" t="s">
        <v>57</v>
      </c>
      <c r="J68" s="88">
        <v>616312</v>
      </c>
      <c r="K68" s="31">
        <v>599059</v>
      </c>
      <c r="L68" s="31">
        <v>1</v>
      </c>
      <c r="M68" s="31">
        <v>0</v>
      </c>
      <c r="N68" s="31">
        <v>0</v>
      </c>
      <c r="O68" s="31">
        <v>0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3"/>
        <v>0</v>
      </c>
      <c r="Z68" s="32">
        <v>17251</v>
      </c>
      <c r="AA68" s="33">
        <v>9</v>
      </c>
      <c r="AB68" s="41">
        <v>44216</v>
      </c>
      <c r="AC68" s="89">
        <v>44231</v>
      </c>
      <c r="AD68" s="32"/>
      <c r="AE68" s="35"/>
      <c r="AF68" s="36"/>
      <c r="AG68" s="89"/>
      <c r="AH68" s="32"/>
      <c r="AI68" s="33"/>
      <c r="AJ68" s="36"/>
      <c r="AK68" s="89"/>
      <c r="AL68" s="32"/>
      <c r="AM68" s="33"/>
      <c r="AN68" s="36"/>
      <c r="AO68" s="89"/>
      <c r="AP68" s="32"/>
      <c r="AQ68" s="33"/>
      <c r="AR68" s="36"/>
      <c r="AS68" s="89"/>
      <c r="AT68" s="37">
        <f t="shared" si="4"/>
        <v>17251</v>
      </c>
      <c r="AU68" s="38">
        <f t="shared" si="5"/>
        <v>17251</v>
      </c>
    </row>
    <row r="69" spans="2:47" s="26" customFormat="1" x14ac:dyDescent="0.25">
      <c r="B69" s="27">
        <v>54</v>
      </c>
      <c r="C69" s="27" t="s">
        <v>39</v>
      </c>
      <c r="D69" s="110">
        <v>30428075</v>
      </c>
      <c r="E69" s="29" t="s">
        <v>397</v>
      </c>
      <c r="F69" s="29" t="s">
        <v>60</v>
      </c>
      <c r="G69" s="30" t="s">
        <v>329</v>
      </c>
      <c r="H69" s="42" t="s">
        <v>377</v>
      </c>
      <c r="I69" s="88" t="s">
        <v>57</v>
      </c>
      <c r="J69" s="88">
        <v>837681</v>
      </c>
      <c r="K69" s="31">
        <v>751129</v>
      </c>
      <c r="L69" s="31">
        <v>0</v>
      </c>
      <c r="M69" s="31">
        <v>0</v>
      </c>
      <c r="N69" s="31">
        <v>46849</v>
      </c>
      <c r="O69" s="31">
        <v>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3"/>
        <v>46849</v>
      </c>
      <c r="Z69" s="32">
        <v>76224</v>
      </c>
      <c r="AA69" s="33">
        <v>9</v>
      </c>
      <c r="AB69" s="41">
        <v>44216</v>
      </c>
      <c r="AC69" s="89">
        <v>44231</v>
      </c>
      <c r="AD69" s="32"/>
      <c r="AE69" s="35"/>
      <c r="AF69" s="36"/>
      <c r="AG69" s="89"/>
      <c r="AH69" s="32"/>
      <c r="AI69" s="33"/>
      <c r="AJ69" s="36"/>
      <c r="AK69" s="89"/>
      <c r="AL69" s="32"/>
      <c r="AM69" s="33"/>
      <c r="AN69" s="36"/>
      <c r="AO69" s="89"/>
      <c r="AP69" s="32"/>
      <c r="AQ69" s="33"/>
      <c r="AR69" s="36"/>
      <c r="AS69" s="89"/>
      <c r="AT69" s="37">
        <f t="shared" si="4"/>
        <v>76224</v>
      </c>
      <c r="AU69" s="38">
        <f t="shared" si="5"/>
        <v>29375</v>
      </c>
    </row>
    <row r="70" spans="2:47" s="26" customFormat="1" ht="22.5" x14ac:dyDescent="0.25">
      <c r="B70" s="27">
        <v>55</v>
      </c>
      <c r="C70" s="27" t="s">
        <v>39</v>
      </c>
      <c r="D70" s="110">
        <v>30116561</v>
      </c>
      <c r="E70" s="29" t="s">
        <v>396</v>
      </c>
      <c r="F70" s="29" t="s">
        <v>54</v>
      </c>
      <c r="G70" s="30" t="s">
        <v>329</v>
      </c>
      <c r="H70" s="42" t="s">
        <v>334</v>
      </c>
      <c r="I70" s="88" t="s">
        <v>57</v>
      </c>
      <c r="J70" s="88">
        <v>2092718</v>
      </c>
      <c r="K70" s="31">
        <v>1996693</v>
      </c>
      <c r="L70" s="31">
        <v>0</v>
      </c>
      <c r="M70" s="31">
        <v>0</v>
      </c>
      <c r="N70" s="31">
        <v>0</v>
      </c>
      <c r="O70" s="31">
        <v>0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3"/>
        <v>0</v>
      </c>
      <c r="Z70" s="32">
        <v>66075</v>
      </c>
      <c r="AA70" s="33">
        <v>9</v>
      </c>
      <c r="AB70" s="41">
        <v>44216</v>
      </c>
      <c r="AC70" s="89">
        <v>44231</v>
      </c>
      <c r="AD70" s="32"/>
      <c r="AE70" s="35"/>
      <c r="AF70" s="36"/>
      <c r="AG70" s="89"/>
      <c r="AH70" s="32"/>
      <c r="AI70" s="33"/>
      <c r="AJ70" s="36"/>
      <c r="AK70" s="89"/>
      <c r="AL70" s="32"/>
      <c r="AM70" s="33"/>
      <c r="AN70" s="36"/>
      <c r="AO70" s="89"/>
      <c r="AP70" s="32"/>
      <c r="AQ70" s="33"/>
      <c r="AR70" s="36"/>
      <c r="AS70" s="89"/>
      <c r="AT70" s="37">
        <f t="shared" si="4"/>
        <v>66075</v>
      </c>
      <c r="AU70" s="38">
        <f t="shared" si="5"/>
        <v>66075</v>
      </c>
    </row>
    <row r="71" spans="2:47" s="26" customFormat="1" ht="22.5" x14ac:dyDescent="0.25">
      <c r="B71" s="27">
        <v>56</v>
      </c>
      <c r="C71" s="27" t="s">
        <v>39</v>
      </c>
      <c r="D71" s="110">
        <v>30137669</v>
      </c>
      <c r="E71" s="29" t="s">
        <v>395</v>
      </c>
      <c r="F71" s="29" t="s">
        <v>54</v>
      </c>
      <c r="G71" s="30" t="s">
        <v>329</v>
      </c>
      <c r="H71" s="42" t="s">
        <v>394</v>
      </c>
      <c r="I71" s="88" t="s">
        <v>57</v>
      </c>
      <c r="J71" s="88">
        <v>2491150</v>
      </c>
      <c r="K71" s="31">
        <v>9836</v>
      </c>
      <c r="L71" s="31">
        <v>0</v>
      </c>
      <c r="M71" s="31">
        <v>0</v>
      </c>
      <c r="N71" s="31">
        <v>81777</v>
      </c>
      <c r="O71" s="31">
        <v>227428</v>
      </c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3"/>
        <v>309205</v>
      </c>
      <c r="Z71" s="32">
        <v>1189234</v>
      </c>
      <c r="AA71" s="33">
        <v>9</v>
      </c>
      <c r="AB71" s="41">
        <v>44216</v>
      </c>
      <c r="AC71" s="89">
        <v>44231</v>
      </c>
      <c r="AD71" s="32"/>
      <c r="AE71" s="35"/>
      <c r="AF71" s="36"/>
      <c r="AG71" s="89"/>
      <c r="AH71" s="32"/>
      <c r="AI71" s="33"/>
      <c r="AJ71" s="36"/>
      <c r="AK71" s="89"/>
      <c r="AL71" s="32"/>
      <c r="AM71" s="33"/>
      <c r="AN71" s="36"/>
      <c r="AO71" s="89"/>
      <c r="AP71" s="32"/>
      <c r="AQ71" s="33"/>
      <c r="AR71" s="36"/>
      <c r="AS71" s="89"/>
      <c r="AT71" s="37">
        <f t="shared" si="4"/>
        <v>1189234</v>
      </c>
      <c r="AU71" s="38">
        <f t="shared" si="5"/>
        <v>880029</v>
      </c>
    </row>
    <row r="72" spans="2:47" s="26" customFormat="1" ht="22.5" x14ac:dyDescent="0.25">
      <c r="B72" s="27">
        <v>57</v>
      </c>
      <c r="C72" s="27" t="s">
        <v>39</v>
      </c>
      <c r="D72" s="110">
        <v>30115638</v>
      </c>
      <c r="E72" s="29" t="s">
        <v>393</v>
      </c>
      <c r="F72" s="29" t="s">
        <v>54</v>
      </c>
      <c r="G72" s="30" t="s">
        <v>329</v>
      </c>
      <c r="H72" s="42" t="s">
        <v>330</v>
      </c>
      <c r="I72" s="88" t="s">
        <v>57</v>
      </c>
      <c r="J72" s="88">
        <v>436801</v>
      </c>
      <c r="K72" s="31">
        <v>410034</v>
      </c>
      <c r="L72" s="31">
        <v>0</v>
      </c>
      <c r="M72" s="31">
        <v>0</v>
      </c>
      <c r="N72" s="31">
        <v>0</v>
      </c>
      <c r="O72" s="31">
        <v>17744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3"/>
        <v>17744</v>
      </c>
      <c r="Z72" s="32">
        <v>18754</v>
      </c>
      <c r="AA72" s="33">
        <v>9</v>
      </c>
      <c r="AB72" s="41">
        <v>44216</v>
      </c>
      <c r="AC72" s="89">
        <v>44231</v>
      </c>
      <c r="AD72" s="32">
        <v>7447</v>
      </c>
      <c r="AE72" s="35">
        <v>10</v>
      </c>
      <c r="AF72" s="41">
        <v>44218</v>
      </c>
      <c r="AG72" s="89">
        <v>44239</v>
      </c>
      <c r="AH72" s="32"/>
      <c r="AI72" s="33"/>
      <c r="AJ72" s="36"/>
      <c r="AK72" s="89"/>
      <c r="AL72" s="32"/>
      <c r="AM72" s="33"/>
      <c r="AN72" s="36"/>
      <c r="AO72" s="89"/>
      <c r="AP72" s="32"/>
      <c r="AQ72" s="33"/>
      <c r="AR72" s="36"/>
      <c r="AS72" s="89"/>
      <c r="AT72" s="37">
        <f t="shared" si="4"/>
        <v>26201</v>
      </c>
      <c r="AU72" s="38">
        <f t="shared" si="5"/>
        <v>8457</v>
      </c>
    </row>
    <row r="73" spans="2:47" s="26" customFormat="1" ht="31.5" customHeight="1" x14ac:dyDescent="0.25">
      <c r="B73" s="27">
        <v>58</v>
      </c>
      <c r="C73" s="27" t="s">
        <v>39</v>
      </c>
      <c r="D73" s="110">
        <v>30128894</v>
      </c>
      <c r="E73" s="29" t="s">
        <v>392</v>
      </c>
      <c r="F73" s="29" t="s">
        <v>54</v>
      </c>
      <c r="G73" s="30" t="s">
        <v>329</v>
      </c>
      <c r="H73" s="42" t="s">
        <v>351</v>
      </c>
      <c r="I73" s="88" t="s">
        <v>57</v>
      </c>
      <c r="J73" s="88">
        <v>599766</v>
      </c>
      <c r="K73" s="31">
        <v>150044</v>
      </c>
      <c r="L73" s="31">
        <v>0</v>
      </c>
      <c r="M73" s="31">
        <v>0</v>
      </c>
      <c r="N73" s="31">
        <v>1030</v>
      </c>
      <c r="O73" s="31">
        <v>1545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3"/>
        <v>2575</v>
      </c>
      <c r="Z73" s="32">
        <v>360300</v>
      </c>
      <c r="AA73" s="33">
        <v>10</v>
      </c>
      <c r="AB73" s="41">
        <v>44218</v>
      </c>
      <c r="AC73" s="89">
        <v>44239</v>
      </c>
      <c r="AD73" s="32"/>
      <c r="AE73" s="35"/>
      <c r="AF73" s="36"/>
      <c r="AG73" s="89"/>
      <c r="AH73" s="32"/>
      <c r="AI73" s="33"/>
      <c r="AJ73" s="36"/>
      <c r="AK73" s="89"/>
      <c r="AL73" s="32"/>
      <c r="AM73" s="33"/>
      <c r="AN73" s="36"/>
      <c r="AO73" s="89"/>
      <c r="AP73" s="32"/>
      <c r="AQ73" s="33"/>
      <c r="AR73" s="36"/>
      <c r="AS73" s="89"/>
      <c r="AT73" s="37">
        <f t="shared" si="4"/>
        <v>360300</v>
      </c>
      <c r="AU73" s="38">
        <f t="shared" si="5"/>
        <v>357725</v>
      </c>
    </row>
    <row r="74" spans="2:47" s="26" customFormat="1" ht="22.5" x14ac:dyDescent="0.25">
      <c r="B74" s="27">
        <v>59</v>
      </c>
      <c r="C74" s="27" t="s">
        <v>39</v>
      </c>
      <c r="D74" s="110">
        <v>30484345</v>
      </c>
      <c r="E74" s="29" t="s">
        <v>391</v>
      </c>
      <c r="F74" s="29" t="s">
        <v>60</v>
      </c>
      <c r="G74" s="30" t="s">
        <v>329</v>
      </c>
      <c r="H74" s="42" t="s">
        <v>377</v>
      </c>
      <c r="I74" s="88" t="s">
        <v>57</v>
      </c>
      <c r="J74" s="88">
        <v>111341</v>
      </c>
      <c r="K74" s="31">
        <v>11365</v>
      </c>
      <c r="L74" s="31">
        <v>0</v>
      </c>
      <c r="M74" s="31">
        <v>0</v>
      </c>
      <c r="N74" s="31">
        <v>0</v>
      </c>
      <c r="O74" s="31">
        <v>0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3"/>
        <v>0</v>
      </c>
      <c r="Z74" s="32">
        <v>25277</v>
      </c>
      <c r="AA74" s="33">
        <v>10</v>
      </c>
      <c r="AB74" s="41">
        <v>44218</v>
      </c>
      <c r="AC74" s="89">
        <v>44239</v>
      </c>
      <c r="AD74" s="32"/>
      <c r="AE74" s="35"/>
      <c r="AF74" s="36"/>
      <c r="AG74" s="89"/>
      <c r="AH74" s="32"/>
      <c r="AI74" s="33"/>
      <c r="AJ74" s="36"/>
      <c r="AK74" s="89"/>
      <c r="AL74" s="32"/>
      <c r="AM74" s="33"/>
      <c r="AN74" s="36"/>
      <c r="AO74" s="89"/>
      <c r="AP74" s="32"/>
      <c r="AQ74" s="33"/>
      <c r="AR74" s="36"/>
      <c r="AS74" s="89"/>
      <c r="AT74" s="37">
        <f t="shared" si="4"/>
        <v>25277</v>
      </c>
      <c r="AU74" s="38">
        <f t="shared" si="5"/>
        <v>25277</v>
      </c>
    </row>
    <row r="75" spans="2:47" s="26" customFormat="1" ht="22.5" x14ac:dyDescent="0.25">
      <c r="B75" s="27">
        <v>60</v>
      </c>
      <c r="C75" s="27" t="s">
        <v>39</v>
      </c>
      <c r="D75" s="110">
        <v>30102527</v>
      </c>
      <c r="E75" s="29" t="s">
        <v>390</v>
      </c>
      <c r="F75" s="29" t="s">
        <v>54</v>
      </c>
      <c r="G75" s="30" t="s">
        <v>329</v>
      </c>
      <c r="H75" s="42" t="s">
        <v>340</v>
      </c>
      <c r="I75" s="88" t="s">
        <v>57</v>
      </c>
      <c r="J75" s="88">
        <v>3947349</v>
      </c>
      <c r="K75" s="31">
        <v>3887747</v>
      </c>
      <c r="L75" s="31">
        <v>3</v>
      </c>
      <c r="M75" s="31">
        <v>0</v>
      </c>
      <c r="N75" s="31">
        <v>0</v>
      </c>
      <c r="O75" s="31">
        <v>0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3"/>
        <v>0</v>
      </c>
      <c r="Z75" s="32">
        <v>38257</v>
      </c>
      <c r="AA75" s="33">
        <v>12</v>
      </c>
      <c r="AB75" s="41">
        <v>44228</v>
      </c>
      <c r="AC75" s="89">
        <v>44246</v>
      </c>
      <c r="AD75" s="32"/>
      <c r="AE75" s="35"/>
      <c r="AF75" s="36"/>
      <c r="AG75" s="89"/>
      <c r="AH75" s="32"/>
      <c r="AI75" s="33"/>
      <c r="AJ75" s="36"/>
      <c r="AK75" s="89"/>
      <c r="AL75" s="32"/>
      <c r="AM75" s="33"/>
      <c r="AN75" s="36"/>
      <c r="AO75" s="89"/>
      <c r="AP75" s="32"/>
      <c r="AQ75" s="33"/>
      <c r="AR75" s="36"/>
      <c r="AS75" s="89"/>
      <c r="AT75" s="37">
        <f t="shared" si="4"/>
        <v>38257</v>
      </c>
      <c r="AU75" s="38">
        <f t="shared" si="5"/>
        <v>38257</v>
      </c>
    </row>
    <row r="76" spans="2:47" s="26" customFormat="1" ht="22.5" x14ac:dyDescent="0.25">
      <c r="B76" s="27">
        <v>61</v>
      </c>
      <c r="C76" s="27" t="s">
        <v>39</v>
      </c>
      <c r="D76" s="110">
        <v>30111219</v>
      </c>
      <c r="E76" s="29" t="s">
        <v>389</v>
      </c>
      <c r="F76" s="29" t="s">
        <v>54</v>
      </c>
      <c r="G76" s="30" t="s">
        <v>329</v>
      </c>
      <c r="H76" s="42" t="s">
        <v>351</v>
      </c>
      <c r="I76" s="88" t="s">
        <v>57</v>
      </c>
      <c r="J76" s="88">
        <v>309837</v>
      </c>
      <c r="K76" s="31">
        <v>63650</v>
      </c>
      <c r="L76" s="31">
        <v>0</v>
      </c>
      <c r="M76" s="31">
        <v>0</v>
      </c>
      <c r="N76" s="31">
        <v>0</v>
      </c>
      <c r="O76" s="31">
        <v>12680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3"/>
        <v>12680</v>
      </c>
      <c r="Z76" s="32">
        <v>20000</v>
      </c>
      <c r="AA76" s="33">
        <v>14</v>
      </c>
      <c r="AB76" s="41">
        <v>44237</v>
      </c>
      <c r="AC76" s="89">
        <v>44252</v>
      </c>
      <c r="AD76" s="32"/>
      <c r="AE76" s="35"/>
      <c r="AF76" s="36"/>
      <c r="AG76" s="89"/>
      <c r="AH76" s="32"/>
      <c r="AI76" s="33"/>
      <c r="AJ76" s="36"/>
      <c r="AK76" s="89"/>
      <c r="AL76" s="32"/>
      <c r="AM76" s="33"/>
      <c r="AN76" s="36"/>
      <c r="AO76" s="89"/>
      <c r="AP76" s="32"/>
      <c r="AQ76" s="33"/>
      <c r="AR76" s="36"/>
      <c r="AS76" s="89"/>
      <c r="AT76" s="37">
        <f t="shared" si="4"/>
        <v>20000</v>
      </c>
      <c r="AU76" s="38">
        <f t="shared" si="5"/>
        <v>7320</v>
      </c>
    </row>
    <row r="77" spans="2:47" s="26" customFormat="1" ht="22.5" x14ac:dyDescent="0.25">
      <c r="B77" s="27">
        <v>62</v>
      </c>
      <c r="C77" s="27" t="s">
        <v>39</v>
      </c>
      <c r="D77" s="110">
        <v>30487094</v>
      </c>
      <c r="E77" s="29" t="s">
        <v>388</v>
      </c>
      <c r="F77" s="29" t="s">
        <v>54</v>
      </c>
      <c r="G77" s="30" t="s">
        <v>329</v>
      </c>
      <c r="H77" s="42" t="s">
        <v>351</v>
      </c>
      <c r="I77" s="88" t="s">
        <v>72</v>
      </c>
      <c r="J77" s="88">
        <v>1798077</v>
      </c>
      <c r="K77" s="31">
        <v>0</v>
      </c>
      <c r="L77" s="31">
        <v>756668</v>
      </c>
      <c r="M77" s="31">
        <v>0</v>
      </c>
      <c r="N77" s="31">
        <v>0</v>
      </c>
      <c r="O77" s="31">
        <v>1500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3"/>
        <v>1500</v>
      </c>
      <c r="Z77" s="32">
        <v>316621</v>
      </c>
      <c r="AA77" s="33">
        <v>15</v>
      </c>
      <c r="AB77" s="41">
        <v>44245</v>
      </c>
      <c r="AC77" s="89">
        <v>44267</v>
      </c>
      <c r="AD77" s="32"/>
      <c r="AE77" s="35"/>
      <c r="AF77" s="36"/>
      <c r="AG77" s="89"/>
      <c r="AH77" s="32"/>
      <c r="AI77" s="33"/>
      <c r="AJ77" s="36"/>
      <c r="AK77" s="89"/>
      <c r="AL77" s="32"/>
      <c r="AM77" s="33"/>
      <c r="AN77" s="36"/>
      <c r="AO77" s="89"/>
      <c r="AP77" s="32"/>
      <c r="AQ77" s="33"/>
      <c r="AR77" s="36"/>
      <c r="AS77" s="89"/>
      <c r="AT77" s="37">
        <f t="shared" si="4"/>
        <v>316621</v>
      </c>
      <c r="AU77" s="38">
        <f t="shared" si="5"/>
        <v>315121</v>
      </c>
    </row>
    <row r="78" spans="2:47" s="26" customFormat="1" ht="33.75" x14ac:dyDescent="0.25">
      <c r="B78" s="27">
        <v>63</v>
      </c>
      <c r="C78" s="27" t="s">
        <v>39</v>
      </c>
      <c r="D78" s="110">
        <v>30096892</v>
      </c>
      <c r="E78" s="29" t="s">
        <v>387</v>
      </c>
      <c r="F78" s="29" t="s">
        <v>54</v>
      </c>
      <c r="G78" s="30" t="s">
        <v>329</v>
      </c>
      <c r="H78" s="42" t="s">
        <v>351</v>
      </c>
      <c r="I78" s="88" t="s">
        <v>72</v>
      </c>
      <c r="J78" s="88">
        <v>1367129</v>
      </c>
      <c r="K78" s="31">
        <v>0</v>
      </c>
      <c r="L78" s="31">
        <v>246049</v>
      </c>
      <c r="M78" s="31">
        <v>0</v>
      </c>
      <c r="N78" s="31">
        <v>0</v>
      </c>
      <c r="O78" s="31">
        <v>0</v>
      </c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3"/>
        <v>0</v>
      </c>
      <c r="Z78" s="32">
        <v>316080</v>
      </c>
      <c r="AA78" s="33">
        <v>15</v>
      </c>
      <c r="AB78" s="41">
        <v>44245</v>
      </c>
      <c r="AC78" s="89">
        <v>44267</v>
      </c>
      <c r="AD78" s="32"/>
      <c r="AE78" s="35"/>
      <c r="AF78" s="36"/>
      <c r="AG78" s="89"/>
      <c r="AH78" s="32"/>
      <c r="AI78" s="33"/>
      <c r="AJ78" s="36"/>
      <c r="AK78" s="89"/>
      <c r="AL78" s="32"/>
      <c r="AM78" s="33"/>
      <c r="AN78" s="36"/>
      <c r="AO78" s="89"/>
      <c r="AP78" s="32"/>
      <c r="AQ78" s="33"/>
      <c r="AR78" s="36"/>
      <c r="AS78" s="89"/>
      <c r="AT78" s="37">
        <f t="shared" si="4"/>
        <v>316080</v>
      </c>
      <c r="AU78" s="38">
        <f t="shared" si="5"/>
        <v>316080</v>
      </c>
    </row>
    <row r="79" spans="2:47" s="26" customFormat="1" ht="33.75" x14ac:dyDescent="0.25">
      <c r="B79" s="27">
        <v>64</v>
      </c>
      <c r="C79" s="27" t="s">
        <v>39</v>
      </c>
      <c r="D79" s="110">
        <v>40003040</v>
      </c>
      <c r="E79" s="29" t="s">
        <v>386</v>
      </c>
      <c r="F79" s="29" t="s">
        <v>60</v>
      </c>
      <c r="G79" s="30" t="s">
        <v>329</v>
      </c>
      <c r="H79" s="42" t="s">
        <v>351</v>
      </c>
      <c r="I79" s="88" t="s">
        <v>72</v>
      </c>
      <c r="J79" s="88">
        <v>159460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3"/>
        <v>0</v>
      </c>
      <c r="Z79" s="32">
        <v>32098</v>
      </c>
      <c r="AA79" s="33">
        <v>15</v>
      </c>
      <c r="AB79" s="41">
        <v>44245</v>
      </c>
      <c r="AC79" s="89">
        <v>44267</v>
      </c>
      <c r="AD79" s="32"/>
      <c r="AE79" s="35"/>
      <c r="AF79" s="36"/>
      <c r="AG79" s="89"/>
      <c r="AH79" s="32"/>
      <c r="AI79" s="33"/>
      <c r="AJ79" s="36"/>
      <c r="AK79" s="89"/>
      <c r="AL79" s="32"/>
      <c r="AM79" s="33"/>
      <c r="AN79" s="36"/>
      <c r="AO79" s="89"/>
      <c r="AP79" s="32"/>
      <c r="AQ79" s="33"/>
      <c r="AR79" s="36"/>
      <c r="AS79" s="89"/>
      <c r="AT79" s="37">
        <f t="shared" si="4"/>
        <v>32098</v>
      </c>
      <c r="AU79" s="38">
        <f t="shared" si="5"/>
        <v>32098</v>
      </c>
    </row>
    <row r="80" spans="2:47" s="26" customFormat="1" ht="22.5" x14ac:dyDescent="0.25">
      <c r="B80" s="27">
        <v>65</v>
      </c>
      <c r="C80" s="27" t="s">
        <v>39</v>
      </c>
      <c r="D80" s="110">
        <v>40017210</v>
      </c>
      <c r="E80" s="29" t="s">
        <v>385</v>
      </c>
      <c r="F80" s="29" t="s">
        <v>54</v>
      </c>
      <c r="G80" s="30" t="s">
        <v>329</v>
      </c>
      <c r="H80" s="42" t="s">
        <v>377</v>
      </c>
      <c r="I80" s="88" t="s">
        <v>72</v>
      </c>
      <c r="J80" s="88">
        <v>631301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ref="Y80:Y111" si="6">SUM(M80:X80)</f>
        <v>0</v>
      </c>
      <c r="Z80" s="32">
        <v>100000</v>
      </c>
      <c r="AA80" s="33">
        <v>15</v>
      </c>
      <c r="AB80" s="41">
        <v>44245</v>
      </c>
      <c r="AC80" s="89">
        <v>44267</v>
      </c>
      <c r="AD80" s="32"/>
      <c r="AE80" s="35"/>
      <c r="AF80" s="36"/>
      <c r="AG80" s="89"/>
      <c r="AH80" s="32"/>
      <c r="AI80" s="33"/>
      <c r="AJ80" s="36"/>
      <c r="AK80" s="89"/>
      <c r="AL80" s="32"/>
      <c r="AM80" s="33"/>
      <c r="AN80" s="36"/>
      <c r="AO80" s="89"/>
      <c r="AP80" s="32"/>
      <c r="AQ80" s="33"/>
      <c r="AR80" s="36"/>
      <c r="AS80" s="89"/>
      <c r="AT80" s="37">
        <f t="shared" ref="AT80:AT111" si="7">+Z80+AD80+AH80+AL80+AP80</f>
        <v>100000</v>
      </c>
      <c r="AU80" s="38">
        <f t="shared" ref="AU80:AU111" si="8">+AT80-Y80</f>
        <v>100000</v>
      </c>
    </row>
    <row r="81" spans="2:47" s="26" customFormat="1" x14ac:dyDescent="0.25">
      <c r="B81" s="27">
        <v>66</v>
      </c>
      <c r="C81" s="27" t="s">
        <v>39</v>
      </c>
      <c r="D81" s="110">
        <v>30487087</v>
      </c>
      <c r="E81" s="29" t="s">
        <v>384</v>
      </c>
      <c r="F81" s="29" t="s">
        <v>54</v>
      </c>
      <c r="G81" s="30" t="s">
        <v>329</v>
      </c>
      <c r="H81" s="42" t="s">
        <v>377</v>
      </c>
      <c r="I81" s="88" t="s">
        <v>72</v>
      </c>
      <c r="J81" s="88">
        <v>1087042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si="6"/>
        <v>0</v>
      </c>
      <c r="Z81" s="32">
        <v>112149</v>
      </c>
      <c r="AA81" s="33">
        <v>15</v>
      </c>
      <c r="AB81" s="41">
        <v>44245</v>
      </c>
      <c r="AC81" s="89">
        <v>44267</v>
      </c>
      <c r="AD81" s="32"/>
      <c r="AE81" s="35"/>
      <c r="AF81" s="36"/>
      <c r="AG81" s="89"/>
      <c r="AH81" s="32"/>
      <c r="AI81" s="33"/>
      <c r="AJ81" s="36"/>
      <c r="AK81" s="89"/>
      <c r="AL81" s="32"/>
      <c r="AM81" s="33"/>
      <c r="AN81" s="36"/>
      <c r="AO81" s="89"/>
      <c r="AP81" s="32"/>
      <c r="AQ81" s="33"/>
      <c r="AR81" s="36"/>
      <c r="AS81" s="89"/>
      <c r="AT81" s="37">
        <f t="shared" si="7"/>
        <v>112149</v>
      </c>
      <c r="AU81" s="38">
        <f t="shared" si="8"/>
        <v>112149</v>
      </c>
    </row>
    <row r="82" spans="2:47" s="26" customFormat="1" ht="22.5" x14ac:dyDescent="0.25">
      <c r="B82" s="27">
        <v>67</v>
      </c>
      <c r="C82" s="27" t="s">
        <v>39</v>
      </c>
      <c r="D82" s="110">
        <v>30137382</v>
      </c>
      <c r="E82" s="29" t="s">
        <v>383</v>
      </c>
      <c r="F82" s="29" t="s">
        <v>60</v>
      </c>
      <c r="G82" s="30" t="s">
        <v>329</v>
      </c>
      <c r="H82" s="42" t="s">
        <v>347</v>
      </c>
      <c r="I82" s="88" t="s">
        <v>72</v>
      </c>
      <c r="J82" s="88">
        <v>198572</v>
      </c>
      <c r="K82" s="31">
        <v>3878</v>
      </c>
      <c r="L82" s="31">
        <v>0</v>
      </c>
      <c r="M82" s="31">
        <v>0</v>
      </c>
      <c r="N82" s="31">
        <v>0</v>
      </c>
      <c r="O82" s="31">
        <v>0</v>
      </c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6"/>
        <v>0</v>
      </c>
      <c r="Z82" s="32">
        <v>50000</v>
      </c>
      <c r="AA82" s="33">
        <v>15</v>
      </c>
      <c r="AB82" s="41">
        <v>44245</v>
      </c>
      <c r="AC82" s="89">
        <v>44267</v>
      </c>
      <c r="AD82" s="32"/>
      <c r="AE82" s="35"/>
      <c r="AF82" s="36"/>
      <c r="AG82" s="89"/>
      <c r="AH82" s="32"/>
      <c r="AI82" s="33"/>
      <c r="AJ82" s="36"/>
      <c r="AK82" s="89"/>
      <c r="AL82" s="32"/>
      <c r="AM82" s="33"/>
      <c r="AN82" s="36"/>
      <c r="AO82" s="89"/>
      <c r="AP82" s="32"/>
      <c r="AQ82" s="33"/>
      <c r="AR82" s="36"/>
      <c r="AS82" s="89"/>
      <c r="AT82" s="37">
        <f t="shared" si="7"/>
        <v>50000</v>
      </c>
      <c r="AU82" s="38">
        <f t="shared" si="8"/>
        <v>50000</v>
      </c>
    </row>
    <row r="83" spans="2:47" s="26" customFormat="1" ht="22.5" x14ac:dyDescent="0.25">
      <c r="B83" s="27">
        <v>68</v>
      </c>
      <c r="C83" s="27" t="s">
        <v>39</v>
      </c>
      <c r="D83" s="110">
        <v>40005006</v>
      </c>
      <c r="E83" s="29" t="s">
        <v>382</v>
      </c>
      <c r="F83" s="29" t="s">
        <v>54</v>
      </c>
      <c r="G83" s="30" t="s">
        <v>329</v>
      </c>
      <c r="H83" s="42" t="s">
        <v>337</v>
      </c>
      <c r="I83" s="88" t="s">
        <v>72</v>
      </c>
      <c r="J83" s="88">
        <v>772595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6"/>
        <v>0</v>
      </c>
      <c r="Z83" s="32">
        <v>200000</v>
      </c>
      <c r="AA83" s="33">
        <v>15</v>
      </c>
      <c r="AB83" s="41">
        <v>44245</v>
      </c>
      <c r="AC83" s="89">
        <v>44267</v>
      </c>
      <c r="AD83" s="32"/>
      <c r="AE83" s="35"/>
      <c r="AF83" s="36"/>
      <c r="AG83" s="89"/>
      <c r="AH83" s="32"/>
      <c r="AI83" s="33"/>
      <c r="AJ83" s="36"/>
      <c r="AK83" s="89"/>
      <c r="AL83" s="32"/>
      <c r="AM83" s="33"/>
      <c r="AN83" s="36"/>
      <c r="AO83" s="89"/>
      <c r="AP83" s="32"/>
      <c r="AQ83" s="33"/>
      <c r="AR83" s="36"/>
      <c r="AS83" s="89"/>
      <c r="AT83" s="37">
        <f t="shared" si="7"/>
        <v>200000</v>
      </c>
      <c r="AU83" s="38">
        <f t="shared" si="8"/>
        <v>200000</v>
      </c>
    </row>
    <row r="84" spans="2:47" s="26" customFormat="1" ht="22.5" x14ac:dyDescent="0.25">
      <c r="B84" s="27">
        <v>69</v>
      </c>
      <c r="C84" s="27" t="s">
        <v>39</v>
      </c>
      <c r="D84" s="110">
        <v>30484762</v>
      </c>
      <c r="E84" s="29" t="s">
        <v>381</v>
      </c>
      <c r="F84" s="29" t="s">
        <v>60</v>
      </c>
      <c r="G84" s="30" t="s">
        <v>329</v>
      </c>
      <c r="H84" s="42" t="s">
        <v>337</v>
      </c>
      <c r="I84" s="88" t="s">
        <v>72</v>
      </c>
      <c r="J84" s="88">
        <v>217231</v>
      </c>
      <c r="K84" s="31">
        <v>3335</v>
      </c>
      <c r="L84" s="31">
        <v>9297</v>
      </c>
      <c r="M84" s="31">
        <v>0</v>
      </c>
      <c r="N84" s="31">
        <v>0</v>
      </c>
      <c r="O84" s="31">
        <v>0</v>
      </c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6"/>
        <v>0</v>
      </c>
      <c r="Z84" s="32">
        <v>1</v>
      </c>
      <c r="AA84" s="33">
        <v>15</v>
      </c>
      <c r="AB84" s="41">
        <v>44245</v>
      </c>
      <c r="AC84" s="89">
        <v>44267</v>
      </c>
      <c r="AD84" s="32"/>
      <c r="AE84" s="35"/>
      <c r="AF84" s="36"/>
      <c r="AG84" s="89"/>
      <c r="AH84" s="32"/>
      <c r="AI84" s="33"/>
      <c r="AJ84" s="36"/>
      <c r="AK84" s="89"/>
      <c r="AL84" s="32"/>
      <c r="AM84" s="33"/>
      <c r="AN84" s="36"/>
      <c r="AO84" s="89"/>
      <c r="AP84" s="32"/>
      <c r="AQ84" s="33"/>
      <c r="AR84" s="36"/>
      <c r="AS84" s="89"/>
      <c r="AT84" s="37">
        <f t="shared" si="7"/>
        <v>1</v>
      </c>
      <c r="AU84" s="38">
        <f t="shared" si="8"/>
        <v>1</v>
      </c>
    </row>
    <row r="85" spans="2:47" s="26" customFormat="1" ht="22.5" x14ac:dyDescent="0.25">
      <c r="B85" s="27">
        <v>70</v>
      </c>
      <c r="C85" s="27" t="s">
        <v>39</v>
      </c>
      <c r="D85" s="110">
        <v>30484985</v>
      </c>
      <c r="E85" s="29" t="s">
        <v>380</v>
      </c>
      <c r="F85" s="29" t="s">
        <v>60</v>
      </c>
      <c r="G85" s="30" t="s">
        <v>329</v>
      </c>
      <c r="H85" s="42" t="s">
        <v>345</v>
      </c>
      <c r="I85" s="88" t="s">
        <v>72</v>
      </c>
      <c r="J85" s="88">
        <v>38448</v>
      </c>
      <c r="K85" s="31">
        <v>0</v>
      </c>
      <c r="L85" s="31">
        <v>6725</v>
      </c>
      <c r="M85" s="31">
        <v>0</v>
      </c>
      <c r="N85" s="31">
        <v>0</v>
      </c>
      <c r="O85" s="31">
        <v>0</v>
      </c>
      <c r="P85" s="31"/>
      <c r="Q85" s="31"/>
      <c r="R85" s="31"/>
      <c r="S85" s="31"/>
      <c r="T85" s="31"/>
      <c r="U85" s="31"/>
      <c r="V85" s="31"/>
      <c r="W85" s="31"/>
      <c r="X85" s="31"/>
      <c r="Y85" s="31">
        <f t="shared" si="6"/>
        <v>0</v>
      </c>
      <c r="Z85" s="32">
        <v>36646</v>
      </c>
      <c r="AA85" s="33">
        <v>15</v>
      </c>
      <c r="AB85" s="41">
        <v>44245</v>
      </c>
      <c r="AC85" s="89">
        <v>44267</v>
      </c>
      <c r="AD85" s="32"/>
      <c r="AE85" s="35"/>
      <c r="AF85" s="36"/>
      <c r="AG85" s="89"/>
      <c r="AH85" s="32"/>
      <c r="AI85" s="33"/>
      <c r="AJ85" s="36"/>
      <c r="AK85" s="89"/>
      <c r="AL85" s="32"/>
      <c r="AM85" s="33"/>
      <c r="AN85" s="36"/>
      <c r="AO85" s="89"/>
      <c r="AP85" s="32"/>
      <c r="AQ85" s="33"/>
      <c r="AR85" s="36"/>
      <c r="AS85" s="89"/>
      <c r="AT85" s="37">
        <f t="shared" si="7"/>
        <v>36646</v>
      </c>
      <c r="AU85" s="38">
        <f t="shared" si="8"/>
        <v>36646</v>
      </c>
    </row>
    <row r="86" spans="2:47" s="26" customFormat="1" ht="22.5" x14ac:dyDescent="0.25">
      <c r="B86" s="27">
        <v>71</v>
      </c>
      <c r="C86" s="27" t="s">
        <v>39</v>
      </c>
      <c r="D86" s="110">
        <v>30348582</v>
      </c>
      <c r="E86" s="29" t="s">
        <v>379</v>
      </c>
      <c r="F86" s="29" t="s">
        <v>54</v>
      </c>
      <c r="G86" s="30" t="s">
        <v>329</v>
      </c>
      <c r="H86" s="42" t="s">
        <v>377</v>
      </c>
      <c r="I86" s="88" t="s">
        <v>72</v>
      </c>
      <c r="J86" s="88">
        <v>571296</v>
      </c>
      <c r="K86" s="31">
        <v>0</v>
      </c>
      <c r="L86" s="31">
        <v>250750</v>
      </c>
      <c r="M86" s="31">
        <v>0</v>
      </c>
      <c r="N86" s="31">
        <v>0</v>
      </c>
      <c r="O86" s="31">
        <v>0</v>
      </c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si="6"/>
        <v>0</v>
      </c>
      <c r="Z86" s="32">
        <v>1</v>
      </c>
      <c r="AA86" s="33">
        <v>15</v>
      </c>
      <c r="AB86" s="41">
        <v>44245</v>
      </c>
      <c r="AC86" s="89">
        <v>44267</v>
      </c>
      <c r="AD86" s="32"/>
      <c r="AE86" s="35"/>
      <c r="AF86" s="36"/>
      <c r="AG86" s="89"/>
      <c r="AH86" s="32"/>
      <c r="AI86" s="33"/>
      <c r="AJ86" s="36"/>
      <c r="AK86" s="89"/>
      <c r="AL86" s="32"/>
      <c r="AM86" s="33"/>
      <c r="AN86" s="36"/>
      <c r="AO86" s="89"/>
      <c r="AP86" s="32"/>
      <c r="AQ86" s="33"/>
      <c r="AR86" s="36"/>
      <c r="AS86" s="89"/>
      <c r="AT86" s="37">
        <f t="shared" si="7"/>
        <v>1</v>
      </c>
      <c r="AU86" s="38">
        <f t="shared" si="8"/>
        <v>1</v>
      </c>
    </row>
    <row r="87" spans="2:47" s="26" customFormat="1" ht="22.5" x14ac:dyDescent="0.25">
      <c r="B87" s="27">
        <v>72</v>
      </c>
      <c r="C87" s="27" t="s">
        <v>39</v>
      </c>
      <c r="D87" s="110">
        <v>30349480</v>
      </c>
      <c r="E87" s="29" t="s">
        <v>378</v>
      </c>
      <c r="F87" s="29" t="s">
        <v>54</v>
      </c>
      <c r="G87" s="30" t="s">
        <v>329</v>
      </c>
      <c r="H87" s="42" t="s">
        <v>377</v>
      </c>
      <c r="I87" s="88" t="s">
        <v>72</v>
      </c>
      <c r="J87" s="88">
        <v>6512648</v>
      </c>
      <c r="K87" s="31">
        <v>0</v>
      </c>
      <c r="L87" s="31">
        <v>6480705</v>
      </c>
      <c r="M87" s="31">
        <v>0</v>
      </c>
      <c r="N87" s="31">
        <v>0</v>
      </c>
      <c r="O87" s="31">
        <v>0</v>
      </c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6"/>
        <v>0</v>
      </c>
      <c r="Z87" s="32">
        <v>31943</v>
      </c>
      <c r="AA87" s="33">
        <v>15</v>
      </c>
      <c r="AB87" s="41">
        <v>44245</v>
      </c>
      <c r="AC87" s="89">
        <v>44267</v>
      </c>
      <c r="AD87" s="32"/>
      <c r="AE87" s="35"/>
      <c r="AF87" s="36"/>
      <c r="AG87" s="89"/>
      <c r="AH87" s="32"/>
      <c r="AI87" s="33"/>
      <c r="AJ87" s="36"/>
      <c r="AK87" s="89"/>
      <c r="AL87" s="32"/>
      <c r="AM87" s="33"/>
      <c r="AN87" s="36"/>
      <c r="AO87" s="89"/>
      <c r="AP87" s="32"/>
      <c r="AQ87" s="33"/>
      <c r="AR87" s="36"/>
      <c r="AS87" s="89"/>
      <c r="AT87" s="37">
        <f t="shared" si="7"/>
        <v>31943</v>
      </c>
      <c r="AU87" s="38">
        <f t="shared" si="8"/>
        <v>31943</v>
      </c>
    </row>
    <row r="88" spans="2:47" s="26" customFormat="1" x14ac:dyDescent="0.25">
      <c r="B88" s="27">
        <v>73</v>
      </c>
      <c r="C88" s="27" t="s">
        <v>39</v>
      </c>
      <c r="D88" s="110">
        <v>40001729</v>
      </c>
      <c r="E88" s="29" t="s">
        <v>376</v>
      </c>
      <c r="F88" s="29" t="s">
        <v>54</v>
      </c>
      <c r="G88" s="30" t="s">
        <v>329</v>
      </c>
      <c r="H88" s="42" t="s">
        <v>351</v>
      </c>
      <c r="I88" s="88" t="s">
        <v>72</v>
      </c>
      <c r="J88" s="88">
        <v>563569</v>
      </c>
      <c r="K88" s="31">
        <v>0</v>
      </c>
      <c r="L88" s="31">
        <v>206666</v>
      </c>
      <c r="M88" s="31">
        <v>0</v>
      </c>
      <c r="N88" s="31">
        <v>0</v>
      </c>
      <c r="O88" s="31">
        <v>0</v>
      </c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6"/>
        <v>0</v>
      </c>
      <c r="Z88" s="32">
        <v>212591</v>
      </c>
      <c r="AA88" s="33">
        <v>15</v>
      </c>
      <c r="AB88" s="41">
        <v>44245</v>
      </c>
      <c r="AC88" s="89">
        <v>44267</v>
      </c>
      <c r="AD88" s="32"/>
      <c r="AE88" s="35"/>
      <c r="AF88" s="36"/>
      <c r="AG88" s="89"/>
      <c r="AH88" s="32"/>
      <c r="AI88" s="33"/>
      <c r="AJ88" s="36"/>
      <c r="AK88" s="89"/>
      <c r="AL88" s="32"/>
      <c r="AM88" s="33"/>
      <c r="AN88" s="36"/>
      <c r="AO88" s="89"/>
      <c r="AP88" s="32"/>
      <c r="AQ88" s="33"/>
      <c r="AR88" s="36"/>
      <c r="AS88" s="89"/>
      <c r="AT88" s="37">
        <f t="shared" si="7"/>
        <v>212591</v>
      </c>
      <c r="AU88" s="38">
        <f t="shared" si="8"/>
        <v>212591</v>
      </c>
    </row>
    <row r="89" spans="2:47" s="26" customFormat="1" ht="22.5" x14ac:dyDescent="0.25">
      <c r="B89" s="27">
        <v>74</v>
      </c>
      <c r="C89" s="27" t="s">
        <v>39</v>
      </c>
      <c r="D89" s="110">
        <v>40013313</v>
      </c>
      <c r="E89" s="29" t="s">
        <v>375</v>
      </c>
      <c r="F89" s="29" t="s">
        <v>54</v>
      </c>
      <c r="G89" s="30" t="s">
        <v>329</v>
      </c>
      <c r="H89" s="42" t="s">
        <v>62</v>
      </c>
      <c r="I89" s="88" t="s">
        <v>72</v>
      </c>
      <c r="J89" s="88">
        <v>1511132</v>
      </c>
      <c r="K89" s="31">
        <v>0</v>
      </c>
      <c r="L89" s="31">
        <v>0</v>
      </c>
      <c r="M89" s="31">
        <v>0</v>
      </c>
      <c r="N89" s="31">
        <v>0</v>
      </c>
      <c r="O89" s="31">
        <v>101633</v>
      </c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6"/>
        <v>101633</v>
      </c>
      <c r="Z89" s="32">
        <v>400000</v>
      </c>
      <c r="AA89" s="33">
        <v>15</v>
      </c>
      <c r="AB89" s="41">
        <v>44245</v>
      </c>
      <c r="AC89" s="89">
        <v>44267</v>
      </c>
      <c r="AD89" s="32"/>
      <c r="AE89" s="35"/>
      <c r="AF89" s="36"/>
      <c r="AG89" s="89"/>
      <c r="AH89" s="32"/>
      <c r="AI89" s="33"/>
      <c r="AJ89" s="36"/>
      <c r="AK89" s="89"/>
      <c r="AL89" s="32"/>
      <c r="AM89" s="33"/>
      <c r="AN89" s="36"/>
      <c r="AO89" s="89"/>
      <c r="AP89" s="32"/>
      <c r="AQ89" s="33"/>
      <c r="AR89" s="36"/>
      <c r="AS89" s="89"/>
      <c r="AT89" s="37">
        <f t="shared" si="7"/>
        <v>400000</v>
      </c>
      <c r="AU89" s="38">
        <f t="shared" si="8"/>
        <v>298367</v>
      </c>
    </row>
    <row r="90" spans="2:47" s="26" customFormat="1" ht="22.5" x14ac:dyDescent="0.25">
      <c r="B90" s="27">
        <v>75</v>
      </c>
      <c r="C90" s="27" t="s">
        <v>43</v>
      </c>
      <c r="D90" s="110">
        <v>30291346</v>
      </c>
      <c r="E90" s="29" t="s">
        <v>374</v>
      </c>
      <c r="F90" s="29" t="s">
        <v>54</v>
      </c>
      <c r="G90" s="30" t="s">
        <v>329</v>
      </c>
      <c r="H90" s="42" t="s">
        <v>373</v>
      </c>
      <c r="I90" s="88" t="s">
        <v>72</v>
      </c>
      <c r="J90" s="88">
        <v>333625</v>
      </c>
      <c r="K90" s="31">
        <v>1574</v>
      </c>
      <c r="L90" s="31">
        <v>183209</v>
      </c>
      <c r="M90" s="31">
        <v>0</v>
      </c>
      <c r="N90" s="31">
        <v>0</v>
      </c>
      <c r="O90" s="31">
        <v>0</v>
      </c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6"/>
        <v>0</v>
      </c>
      <c r="Z90" s="32">
        <v>80000</v>
      </c>
      <c r="AA90" s="33">
        <v>15</v>
      </c>
      <c r="AB90" s="41">
        <v>44245</v>
      </c>
      <c r="AC90" s="89">
        <v>44267</v>
      </c>
      <c r="AD90" s="32">
        <v>0</v>
      </c>
      <c r="AE90" s="35">
        <v>31</v>
      </c>
      <c r="AF90" s="41">
        <v>44270</v>
      </c>
      <c r="AG90" s="89">
        <v>44286</v>
      </c>
      <c r="AH90" s="32"/>
      <c r="AI90" s="33"/>
      <c r="AJ90" s="36"/>
      <c r="AK90" s="89"/>
      <c r="AL90" s="32"/>
      <c r="AM90" s="33"/>
      <c r="AN90" s="36"/>
      <c r="AO90" s="89"/>
      <c r="AP90" s="32"/>
      <c r="AQ90" s="33"/>
      <c r="AR90" s="36"/>
      <c r="AS90" s="89"/>
      <c r="AT90" s="37">
        <f t="shared" si="7"/>
        <v>80000</v>
      </c>
      <c r="AU90" s="38">
        <f t="shared" si="8"/>
        <v>80000</v>
      </c>
    </row>
    <row r="91" spans="2:47" s="26" customFormat="1" ht="22.5" x14ac:dyDescent="0.25">
      <c r="B91" s="27">
        <v>76</v>
      </c>
      <c r="C91" s="27" t="s">
        <v>39</v>
      </c>
      <c r="D91" s="110">
        <v>30086180</v>
      </c>
      <c r="E91" s="29" t="s">
        <v>372</v>
      </c>
      <c r="F91" s="29" t="s">
        <v>54</v>
      </c>
      <c r="G91" s="30" t="s">
        <v>329</v>
      </c>
      <c r="H91" s="42" t="s">
        <v>334</v>
      </c>
      <c r="I91" s="88" t="s">
        <v>57</v>
      </c>
      <c r="J91" s="88">
        <v>2636324</v>
      </c>
      <c r="K91" s="31">
        <v>2592616</v>
      </c>
      <c r="L91" s="31">
        <v>0</v>
      </c>
      <c r="M91" s="31">
        <v>0</v>
      </c>
      <c r="N91" s="31">
        <v>0</v>
      </c>
      <c r="O91" s="31">
        <v>0</v>
      </c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6"/>
        <v>0</v>
      </c>
      <c r="Z91" s="32">
        <v>43707</v>
      </c>
      <c r="AA91" s="33">
        <v>16</v>
      </c>
      <c r="AB91" s="41">
        <v>44245</v>
      </c>
      <c r="AC91" s="89">
        <v>44267</v>
      </c>
      <c r="AD91" s="32"/>
      <c r="AE91" s="35"/>
      <c r="AF91" s="36"/>
      <c r="AG91" s="89"/>
      <c r="AH91" s="32"/>
      <c r="AI91" s="33"/>
      <c r="AJ91" s="36"/>
      <c r="AK91" s="89"/>
      <c r="AL91" s="32"/>
      <c r="AM91" s="33"/>
      <c r="AN91" s="36"/>
      <c r="AO91" s="89"/>
      <c r="AP91" s="32"/>
      <c r="AQ91" s="33"/>
      <c r="AR91" s="36"/>
      <c r="AS91" s="89"/>
      <c r="AT91" s="37">
        <f t="shared" si="7"/>
        <v>43707</v>
      </c>
      <c r="AU91" s="38">
        <f t="shared" si="8"/>
        <v>43707</v>
      </c>
    </row>
    <row r="92" spans="2:47" s="26" customFormat="1" ht="22.5" x14ac:dyDescent="0.25">
      <c r="B92" s="27">
        <v>77</v>
      </c>
      <c r="C92" s="27" t="s">
        <v>39</v>
      </c>
      <c r="D92" s="110">
        <v>30116934</v>
      </c>
      <c r="E92" s="29" t="s">
        <v>371</v>
      </c>
      <c r="F92" s="29" t="s">
        <v>54</v>
      </c>
      <c r="G92" s="30" t="s">
        <v>329</v>
      </c>
      <c r="H92" s="42" t="s">
        <v>359</v>
      </c>
      <c r="I92" s="88" t="s">
        <v>57</v>
      </c>
      <c r="J92" s="88">
        <v>3859371</v>
      </c>
      <c r="K92" s="31">
        <v>584324</v>
      </c>
      <c r="L92" s="31">
        <v>2372515</v>
      </c>
      <c r="M92" s="31">
        <v>0</v>
      </c>
      <c r="N92" s="31">
        <v>0</v>
      </c>
      <c r="O92" s="31">
        <v>0</v>
      </c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6"/>
        <v>0</v>
      </c>
      <c r="Z92" s="32">
        <v>333514</v>
      </c>
      <c r="AA92" s="33">
        <v>16</v>
      </c>
      <c r="AB92" s="41">
        <v>44245</v>
      </c>
      <c r="AC92" s="89">
        <v>44267</v>
      </c>
      <c r="AD92" s="32"/>
      <c r="AE92" s="35"/>
      <c r="AF92" s="36"/>
      <c r="AG92" s="89"/>
      <c r="AH92" s="32"/>
      <c r="AI92" s="33"/>
      <c r="AJ92" s="36"/>
      <c r="AK92" s="89"/>
      <c r="AL92" s="32"/>
      <c r="AM92" s="33"/>
      <c r="AN92" s="36"/>
      <c r="AO92" s="89"/>
      <c r="AP92" s="32"/>
      <c r="AQ92" s="33"/>
      <c r="AR92" s="36"/>
      <c r="AS92" s="89"/>
      <c r="AT92" s="37">
        <f t="shared" si="7"/>
        <v>333514</v>
      </c>
      <c r="AU92" s="38">
        <f t="shared" si="8"/>
        <v>333514</v>
      </c>
    </row>
    <row r="93" spans="2:47" s="26" customFormat="1" ht="22.5" x14ac:dyDescent="0.25">
      <c r="B93" s="27">
        <v>78</v>
      </c>
      <c r="C93" s="27" t="s">
        <v>39</v>
      </c>
      <c r="D93" s="110">
        <v>30136383</v>
      </c>
      <c r="E93" s="29" t="s">
        <v>370</v>
      </c>
      <c r="F93" s="29" t="s">
        <v>54</v>
      </c>
      <c r="G93" s="30" t="s">
        <v>329</v>
      </c>
      <c r="H93" s="42" t="s">
        <v>337</v>
      </c>
      <c r="I93" s="88" t="s">
        <v>57</v>
      </c>
      <c r="J93" s="88">
        <v>2256587</v>
      </c>
      <c r="K93" s="31">
        <v>2185657</v>
      </c>
      <c r="L93" s="31">
        <v>0</v>
      </c>
      <c r="M93" s="31">
        <v>0</v>
      </c>
      <c r="N93" s="31">
        <v>0</v>
      </c>
      <c r="O93" s="31">
        <v>0</v>
      </c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6"/>
        <v>0</v>
      </c>
      <c r="Z93" s="32">
        <v>50530</v>
      </c>
      <c r="AA93" s="33">
        <v>16</v>
      </c>
      <c r="AB93" s="41">
        <v>44245</v>
      </c>
      <c r="AC93" s="89">
        <v>44267</v>
      </c>
      <c r="AD93" s="32"/>
      <c r="AE93" s="35"/>
      <c r="AF93" s="36"/>
      <c r="AG93" s="89"/>
      <c r="AH93" s="32"/>
      <c r="AI93" s="33"/>
      <c r="AJ93" s="36"/>
      <c r="AK93" s="89"/>
      <c r="AL93" s="32"/>
      <c r="AM93" s="33"/>
      <c r="AN93" s="36"/>
      <c r="AO93" s="89"/>
      <c r="AP93" s="32"/>
      <c r="AQ93" s="33"/>
      <c r="AR93" s="36"/>
      <c r="AS93" s="89"/>
      <c r="AT93" s="37">
        <f t="shared" si="7"/>
        <v>50530</v>
      </c>
      <c r="AU93" s="38">
        <f t="shared" si="8"/>
        <v>50530</v>
      </c>
    </row>
    <row r="94" spans="2:47" s="26" customFormat="1" ht="22.5" x14ac:dyDescent="0.25">
      <c r="B94" s="27">
        <v>79</v>
      </c>
      <c r="C94" s="27" t="s">
        <v>39</v>
      </c>
      <c r="D94" s="110">
        <v>30183073</v>
      </c>
      <c r="E94" s="29" t="s">
        <v>369</v>
      </c>
      <c r="F94" s="29" t="s">
        <v>54</v>
      </c>
      <c r="G94" s="30" t="s">
        <v>329</v>
      </c>
      <c r="H94" s="42" t="s">
        <v>345</v>
      </c>
      <c r="I94" s="88" t="s">
        <v>57</v>
      </c>
      <c r="J94" s="88">
        <v>2253940</v>
      </c>
      <c r="K94" s="31">
        <v>2233940</v>
      </c>
      <c r="L94" s="31">
        <v>0</v>
      </c>
      <c r="M94" s="31">
        <v>0</v>
      </c>
      <c r="N94" s="31">
        <v>0</v>
      </c>
      <c r="O94" s="31">
        <v>0</v>
      </c>
      <c r="P94" s="31"/>
      <c r="Q94" s="31"/>
      <c r="R94" s="31"/>
      <c r="S94" s="31"/>
      <c r="T94" s="31"/>
      <c r="U94" s="31"/>
      <c r="V94" s="31"/>
      <c r="W94" s="31"/>
      <c r="X94" s="31"/>
      <c r="Y94" s="31">
        <f t="shared" si="6"/>
        <v>0</v>
      </c>
      <c r="Z94" s="32">
        <v>9000</v>
      </c>
      <c r="AA94" s="33">
        <v>16</v>
      </c>
      <c r="AB94" s="41">
        <v>44245</v>
      </c>
      <c r="AC94" s="89">
        <v>44267</v>
      </c>
      <c r="AD94" s="32"/>
      <c r="AE94" s="35"/>
      <c r="AF94" s="36"/>
      <c r="AG94" s="89"/>
      <c r="AH94" s="32"/>
      <c r="AI94" s="33"/>
      <c r="AJ94" s="36"/>
      <c r="AK94" s="89"/>
      <c r="AL94" s="32"/>
      <c r="AM94" s="33"/>
      <c r="AN94" s="36"/>
      <c r="AO94" s="89"/>
      <c r="AP94" s="32"/>
      <c r="AQ94" s="33"/>
      <c r="AR94" s="36"/>
      <c r="AS94" s="89"/>
      <c r="AT94" s="37">
        <f t="shared" si="7"/>
        <v>9000</v>
      </c>
      <c r="AU94" s="38">
        <f t="shared" si="8"/>
        <v>9000</v>
      </c>
    </row>
    <row r="95" spans="2:47" s="26" customFormat="1" ht="22.5" x14ac:dyDescent="0.25">
      <c r="B95" s="27">
        <v>80</v>
      </c>
      <c r="C95" s="27" t="s">
        <v>39</v>
      </c>
      <c r="D95" s="110">
        <v>30070463</v>
      </c>
      <c r="E95" s="29" t="s">
        <v>368</v>
      </c>
      <c r="F95" s="29" t="s">
        <v>54</v>
      </c>
      <c r="G95" s="30" t="s">
        <v>329</v>
      </c>
      <c r="H95" s="42" t="s">
        <v>351</v>
      </c>
      <c r="I95" s="88" t="s">
        <v>57</v>
      </c>
      <c r="J95" s="88">
        <v>3384728</v>
      </c>
      <c r="K95" s="31">
        <v>712474</v>
      </c>
      <c r="L95" s="31">
        <v>2511940</v>
      </c>
      <c r="M95" s="31">
        <v>0</v>
      </c>
      <c r="N95" s="31">
        <v>0</v>
      </c>
      <c r="O95" s="31">
        <v>0</v>
      </c>
      <c r="P95" s="31"/>
      <c r="Q95" s="31"/>
      <c r="R95" s="31"/>
      <c r="S95" s="31"/>
      <c r="T95" s="31"/>
      <c r="U95" s="31"/>
      <c r="V95" s="31"/>
      <c r="W95" s="31"/>
      <c r="X95" s="31"/>
      <c r="Y95" s="31">
        <f t="shared" si="6"/>
        <v>0</v>
      </c>
      <c r="Z95" s="32">
        <v>1</v>
      </c>
      <c r="AA95" s="33">
        <v>16</v>
      </c>
      <c r="AB95" s="41">
        <v>44245</v>
      </c>
      <c r="AC95" s="89">
        <v>44267</v>
      </c>
      <c r="AD95" s="32"/>
      <c r="AE95" s="35"/>
      <c r="AF95" s="36"/>
      <c r="AG95" s="89"/>
      <c r="AH95" s="32"/>
      <c r="AI95" s="33"/>
      <c r="AJ95" s="36"/>
      <c r="AK95" s="89"/>
      <c r="AL95" s="32"/>
      <c r="AM95" s="33"/>
      <c r="AN95" s="36"/>
      <c r="AO95" s="89"/>
      <c r="AP95" s="32"/>
      <c r="AQ95" s="33"/>
      <c r="AR95" s="36"/>
      <c r="AS95" s="89"/>
      <c r="AT95" s="37">
        <f t="shared" si="7"/>
        <v>1</v>
      </c>
      <c r="AU95" s="38">
        <f t="shared" si="8"/>
        <v>1</v>
      </c>
    </row>
    <row r="96" spans="2:47" s="26" customFormat="1" ht="22.5" x14ac:dyDescent="0.25">
      <c r="B96" s="27">
        <v>81</v>
      </c>
      <c r="C96" s="27" t="s">
        <v>39</v>
      </c>
      <c r="D96" s="110">
        <v>30473498</v>
      </c>
      <c r="E96" s="29" t="s">
        <v>367</v>
      </c>
      <c r="F96" s="29" t="s">
        <v>366</v>
      </c>
      <c r="G96" s="30" t="s">
        <v>329</v>
      </c>
      <c r="H96" s="42" t="s">
        <v>351</v>
      </c>
      <c r="I96" s="88" t="s">
        <v>72</v>
      </c>
      <c r="J96" s="88">
        <v>109718</v>
      </c>
      <c r="K96" s="31">
        <v>1081</v>
      </c>
      <c r="L96" s="31">
        <v>36141</v>
      </c>
      <c r="M96" s="31">
        <v>0</v>
      </c>
      <c r="N96" s="31">
        <v>0</v>
      </c>
      <c r="O96" s="31">
        <v>0</v>
      </c>
      <c r="P96" s="31"/>
      <c r="Q96" s="31"/>
      <c r="R96" s="31"/>
      <c r="S96" s="31"/>
      <c r="T96" s="31"/>
      <c r="U96" s="31"/>
      <c r="V96" s="31"/>
      <c r="W96" s="31"/>
      <c r="X96" s="31"/>
      <c r="Y96" s="31">
        <f t="shared" si="6"/>
        <v>0</v>
      </c>
      <c r="Z96" s="32">
        <v>50000</v>
      </c>
      <c r="AA96" s="33">
        <v>17</v>
      </c>
      <c r="AB96" s="41">
        <v>44245</v>
      </c>
      <c r="AC96" s="89">
        <v>44267</v>
      </c>
      <c r="AD96" s="32"/>
      <c r="AE96" s="35"/>
      <c r="AF96" s="36"/>
      <c r="AG96" s="89"/>
      <c r="AH96" s="32"/>
      <c r="AI96" s="33"/>
      <c r="AJ96" s="36"/>
      <c r="AK96" s="89"/>
      <c r="AL96" s="32"/>
      <c r="AM96" s="33"/>
      <c r="AN96" s="36"/>
      <c r="AO96" s="89"/>
      <c r="AP96" s="32"/>
      <c r="AQ96" s="33"/>
      <c r="AR96" s="36"/>
      <c r="AS96" s="89"/>
      <c r="AT96" s="37">
        <f t="shared" si="7"/>
        <v>50000</v>
      </c>
      <c r="AU96" s="38">
        <f t="shared" si="8"/>
        <v>50000</v>
      </c>
    </row>
    <row r="97" spans="2:47" s="26" customFormat="1" ht="22.5" x14ac:dyDescent="0.25">
      <c r="B97" s="27">
        <v>82</v>
      </c>
      <c r="C97" s="27" t="s">
        <v>39</v>
      </c>
      <c r="D97" s="110">
        <v>30428596</v>
      </c>
      <c r="E97" s="29" t="s">
        <v>365</v>
      </c>
      <c r="F97" s="29" t="s">
        <v>54</v>
      </c>
      <c r="G97" s="30" t="s">
        <v>329</v>
      </c>
      <c r="H97" s="42" t="s">
        <v>340</v>
      </c>
      <c r="I97" s="88" t="s">
        <v>72</v>
      </c>
      <c r="J97" s="88">
        <v>1155199</v>
      </c>
      <c r="K97" s="31">
        <v>0</v>
      </c>
      <c r="L97" s="31">
        <v>1888</v>
      </c>
      <c r="M97" s="31">
        <v>0</v>
      </c>
      <c r="N97" s="31">
        <v>0</v>
      </c>
      <c r="O97" s="31">
        <v>0</v>
      </c>
      <c r="P97" s="31"/>
      <c r="Q97" s="31"/>
      <c r="R97" s="31"/>
      <c r="S97" s="31"/>
      <c r="T97" s="31"/>
      <c r="U97" s="31"/>
      <c r="V97" s="31"/>
      <c r="W97" s="31"/>
      <c r="X97" s="31"/>
      <c r="Y97" s="31">
        <f t="shared" si="6"/>
        <v>0</v>
      </c>
      <c r="Z97" s="32">
        <v>216575</v>
      </c>
      <c r="AA97" s="33">
        <v>17</v>
      </c>
      <c r="AB97" s="41">
        <v>44245</v>
      </c>
      <c r="AC97" s="89">
        <v>44267</v>
      </c>
      <c r="AD97" s="32"/>
      <c r="AE97" s="35"/>
      <c r="AF97" s="36"/>
      <c r="AG97" s="89"/>
      <c r="AH97" s="32"/>
      <c r="AI97" s="33"/>
      <c r="AJ97" s="36"/>
      <c r="AK97" s="89"/>
      <c r="AL97" s="32"/>
      <c r="AM97" s="33"/>
      <c r="AN97" s="36"/>
      <c r="AO97" s="89"/>
      <c r="AP97" s="32"/>
      <c r="AQ97" s="33"/>
      <c r="AR97" s="36"/>
      <c r="AS97" s="89"/>
      <c r="AT97" s="37">
        <f t="shared" si="7"/>
        <v>216575</v>
      </c>
      <c r="AU97" s="38">
        <f t="shared" si="8"/>
        <v>216575</v>
      </c>
    </row>
    <row r="98" spans="2:47" s="26" customFormat="1" ht="22.5" x14ac:dyDescent="0.25">
      <c r="B98" s="27">
        <v>83</v>
      </c>
      <c r="C98" s="27" t="s">
        <v>39</v>
      </c>
      <c r="D98" s="110">
        <v>30097815</v>
      </c>
      <c r="E98" s="29" t="s">
        <v>364</v>
      </c>
      <c r="F98" s="29" t="s">
        <v>60</v>
      </c>
      <c r="G98" s="30" t="s">
        <v>329</v>
      </c>
      <c r="H98" s="42" t="s">
        <v>340</v>
      </c>
      <c r="I98" s="88" t="s">
        <v>72</v>
      </c>
      <c r="J98" s="88">
        <v>318755</v>
      </c>
      <c r="K98" s="31">
        <v>2115</v>
      </c>
      <c r="L98" s="31">
        <v>32286</v>
      </c>
      <c r="M98" s="31">
        <v>0</v>
      </c>
      <c r="N98" s="31">
        <v>0</v>
      </c>
      <c r="O98" s="31">
        <v>0</v>
      </c>
      <c r="P98" s="31"/>
      <c r="Q98" s="31"/>
      <c r="R98" s="31"/>
      <c r="S98" s="31"/>
      <c r="T98" s="31"/>
      <c r="U98" s="31"/>
      <c r="V98" s="31"/>
      <c r="W98" s="31"/>
      <c r="X98" s="31"/>
      <c r="Y98" s="31">
        <f t="shared" si="6"/>
        <v>0</v>
      </c>
      <c r="Z98" s="32">
        <v>1</v>
      </c>
      <c r="AA98" s="33">
        <v>17</v>
      </c>
      <c r="AB98" s="41">
        <v>44245</v>
      </c>
      <c r="AC98" s="89">
        <v>44267</v>
      </c>
      <c r="AD98" s="32"/>
      <c r="AE98" s="35"/>
      <c r="AF98" s="36"/>
      <c r="AG98" s="89"/>
      <c r="AH98" s="32"/>
      <c r="AI98" s="33"/>
      <c r="AJ98" s="36"/>
      <c r="AK98" s="89"/>
      <c r="AL98" s="32"/>
      <c r="AM98" s="33"/>
      <c r="AN98" s="36"/>
      <c r="AO98" s="89"/>
      <c r="AP98" s="32"/>
      <c r="AQ98" s="33"/>
      <c r="AR98" s="36"/>
      <c r="AS98" s="89"/>
      <c r="AT98" s="37">
        <f t="shared" si="7"/>
        <v>1</v>
      </c>
      <c r="AU98" s="38">
        <f t="shared" si="8"/>
        <v>1</v>
      </c>
    </row>
    <row r="99" spans="2:47" s="26" customFormat="1" ht="22.5" x14ac:dyDescent="0.25">
      <c r="B99" s="27">
        <v>84</v>
      </c>
      <c r="C99" s="27" t="s">
        <v>39</v>
      </c>
      <c r="D99" s="110">
        <v>30487030</v>
      </c>
      <c r="E99" s="29" t="s">
        <v>363</v>
      </c>
      <c r="F99" s="29" t="s">
        <v>60</v>
      </c>
      <c r="G99" s="30" t="s">
        <v>329</v>
      </c>
      <c r="H99" s="42" t="s">
        <v>340</v>
      </c>
      <c r="I99" s="88" t="s">
        <v>72</v>
      </c>
      <c r="J99" s="88">
        <v>231749</v>
      </c>
      <c r="K99" s="31">
        <v>2061</v>
      </c>
      <c r="L99" s="31">
        <v>52078</v>
      </c>
      <c r="M99" s="31">
        <v>0</v>
      </c>
      <c r="N99" s="31">
        <v>0</v>
      </c>
      <c r="O99" s="31">
        <v>0</v>
      </c>
      <c r="P99" s="31"/>
      <c r="Q99" s="31"/>
      <c r="R99" s="31"/>
      <c r="S99" s="31"/>
      <c r="T99" s="31"/>
      <c r="U99" s="31"/>
      <c r="V99" s="31"/>
      <c r="W99" s="31"/>
      <c r="X99" s="31"/>
      <c r="Y99" s="31">
        <f t="shared" si="6"/>
        <v>0</v>
      </c>
      <c r="Z99" s="32">
        <v>1</v>
      </c>
      <c r="AA99" s="33">
        <v>17</v>
      </c>
      <c r="AB99" s="41">
        <v>44245</v>
      </c>
      <c r="AC99" s="89">
        <v>44267</v>
      </c>
      <c r="AD99" s="32"/>
      <c r="AE99" s="35"/>
      <c r="AF99" s="36"/>
      <c r="AG99" s="89"/>
      <c r="AH99" s="32"/>
      <c r="AI99" s="33"/>
      <c r="AJ99" s="36"/>
      <c r="AK99" s="89"/>
      <c r="AL99" s="32"/>
      <c r="AM99" s="33"/>
      <c r="AN99" s="36"/>
      <c r="AO99" s="89"/>
      <c r="AP99" s="32"/>
      <c r="AQ99" s="33"/>
      <c r="AR99" s="36"/>
      <c r="AS99" s="89"/>
      <c r="AT99" s="37">
        <f t="shared" si="7"/>
        <v>1</v>
      </c>
      <c r="AU99" s="38">
        <f t="shared" si="8"/>
        <v>1</v>
      </c>
    </row>
    <row r="100" spans="2:47" s="26" customFormat="1" ht="22.5" x14ac:dyDescent="0.25">
      <c r="B100" s="27">
        <v>85</v>
      </c>
      <c r="C100" s="27" t="s">
        <v>39</v>
      </c>
      <c r="D100" s="110">
        <v>30455588</v>
      </c>
      <c r="E100" s="29" t="s">
        <v>362</v>
      </c>
      <c r="F100" s="29" t="s">
        <v>54</v>
      </c>
      <c r="G100" s="30" t="s">
        <v>329</v>
      </c>
      <c r="H100" s="42" t="s">
        <v>359</v>
      </c>
      <c r="I100" s="88" t="s">
        <v>72</v>
      </c>
      <c r="J100" s="88">
        <v>7188189</v>
      </c>
      <c r="K100" s="31">
        <v>1357</v>
      </c>
      <c r="L100" s="31">
        <v>6095660</v>
      </c>
      <c r="M100" s="31">
        <v>0</v>
      </c>
      <c r="N100" s="31">
        <v>0</v>
      </c>
      <c r="O100" s="31">
        <v>0</v>
      </c>
      <c r="P100" s="31"/>
      <c r="Q100" s="31"/>
      <c r="R100" s="31"/>
      <c r="S100" s="31"/>
      <c r="T100" s="31"/>
      <c r="U100" s="31"/>
      <c r="V100" s="31"/>
      <c r="W100" s="31"/>
      <c r="X100" s="31"/>
      <c r="Y100" s="31">
        <f t="shared" si="6"/>
        <v>0</v>
      </c>
      <c r="Z100" s="32">
        <v>350000</v>
      </c>
      <c r="AA100" s="33">
        <v>17</v>
      </c>
      <c r="AB100" s="41">
        <v>44245</v>
      </c>
      <c r="AC100" s="89">
        <v>44267</v>
      </c>
      <c r="AD100" s="32"/>
      <c r="AE100" s="35"/>
      <c r="AF100" s="36"/>
      <c r="AG100" s="89"/>
      <c r="AH100" s="32"/>
      <c r="AI100" s="33"/>
      <c r="AJ100" s="36"/>
      <c r="AK100" s="89"/>
      <c r="AL100" s="32"/>
      <c r="AM100" s="33"/>
      <c r="AN100" s="36"/>
      <c r="AO100" s="89"/>
      <c r="AP100" s="32"/>
      <c r="AQ100" s="33"/>
      <c r="AR100" s="36"/>
      <c r="AS100" s="89"/>
      <c r="AT100" s="37">
        <f t="shared" si="7"/>
        <v>350000</v>
      </c>
      <c r="AU100" s="38">
        <f t="shared" si="8"/>
        <v>350000</v>
      </c>
    </row>
    <row r="101" spans="2:47" s="26" customFormat="1" x14ac:dyDescent="0.25">
      <c r="B101" s="27">
        <v>86</v>
      </c>
      <c r="C101" s="27" t="s">
        <v>39</v>
      </c>
      <c r="D101" s="110">
        <v>30066646</v>
      </c>
      <c r="E101" s="29" t="s">
        <v>361</v>
      </c>
      <c r="F101" s="29" t="s">
        <v>60</v>
      </c>
      <c r="G101" s="30" t="s">
        <v>329</v>
      </c>
      <c r="H101" s="42" t="s">
        <v>359</v>
      </c>
      <c r="I101" s="88" t="s">
        <v>72</v>
      </c>
      <c r="J101" s="88">
        <v>98193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1"/>
      <c r="Q101" s="31"/>
      <c r="R101" s="31"/>
      <c r="S101" s="31"/>
      <c r="T101" s="31"/>
      <c r="U101" s="31"/>
      <c r="V101" s="31"/>
      <c r="W101" s="31"/>
      <c r="X101" s="31"/>
      <c r="Y101" s="31">
        <f t="shared" si="6"/>
        <v>0</v>
      </c>
      <c r="Z101" s="32">
        <v>31259</v>
      </c>
      <c r="AA101" s="33">
        <v>17</v>
      </c>
      <c r="AB101" s="41">
        <v>44245</v>
      </c>
      <c r="AC101" s="89">
        <v>44267</v>
      </c>
      <c r="AD101" s="32"/>
      <c r="AE101" s="35"/>
      <c r="AF101" s="36"/>
      <c r="AG101" s="89"/>
      <c r="AH101" s="32"/>
      <c r="AI101" s="33"/>
      <c r="AJ101" s="36"/>
      <c r="AK101" s="89"/>
      <c r="AL101" s="32"/>
      <c r="AM101" s="33"/>
      <c r="AN101" s="36"/>
      <c r="AO101" s="89"/>
      <c r="AP101" s="32"/>
      <c r="AQ101" s="33"/>
      <c r="AR101" s="36"/>
      <c r="AS101" s="89"/>
      <c r="AT101" s="37">
        <f t="shared" si="7"/>
        <v>31259</v>
      </c>
      <c r="AU101" s="38">
        <f t="shared" si="8"/>
        <v>31259</v>
      </c>
    </row>
    <row r="102" spans="2:47" s="26" customFormat="1" x14ac:dyDescent="0.25">
      <c r="B102" s="27">
        <v>87</v>
      </c>
      <c r="C102" s="27" t="s">
        <v>39</v>
      </c>
      <c r="D102" s="110">
        <v>30434772</v>
      </c>
      <c r="E102" s="29" t="s">
        <v>360</v>
      </c>
      <c r="F102" s="29" t="s">
        <v>60</v>
      </c>
      <c r="G102" s="30" t="s">
        <v>329</v>
      </c>
      <c r="H102" s="42" t="s">
        <v>359</v>
      </c>
      <c r="I102" s="88" t="s">
        <v>72</v>
      </c>
      <c r="J102" s="88">
        <v>69998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1"/>
      <c r="Q102" s="31"/>
      <c r="R102" s="31"/>
      <c r="S102" s="31"/>
      <c r="T102" s="31"/>
      <c r="U102" s="31"/>
      <c r="V102" s="31"/>
      <c r="W102" s="31"/>
      <c r="X102" s="31"/>
      <c r="Y102" s="31">
        <f t="shared" si="6"/>
        <v>0</v>
      </c>
      <c r="Z102" s="32">
        <v>20000</v>
      </c>
      <c r="AA102" s="33">
        <v>17</v>
      </c>
      <c r="AB102" s="41">
        <v>44245</v>
      </c>
      <c r="AC102" s="89">
        <v>44267</v>
      </c>
      <c r="AD102" s="32"/>
      <c r="AE102" s="35"/>
      <c r="AF102" s="36"/>
      <c r="AG102" s="89"/>
      <c r="AH102" s="32"/>
      <c r="AI102" s="33"/>
      <c r="AJ102" s="36"/>
      <c r="AK102" s="89"/>
      <c r="AL102" s="32"/>
      <c r="AM102" s="33"/>
      <c r="AN102" s="36"/>
      <c r="AO102" s="89"/>
      <c r="AP102" s="32"/>
      <c r="AQ102" s="33"/>
      <c r="AR102" s="36"/>
      <c r="AS102" s="89"/>
      <c r="AT102" s="37">
        <f t="shared" si="7"/>
        <v>20000</v>
      </c>
      <c r="AU102" s="38">
        <f t="shared" si="8"/>
        <v>20000</v>
      </c>
    </row>
    <row r="103" spans="2:47" s="26" customFormat="1" ht="22.5" x14ac:dyDescent="0.25">
      <c r="B103" s="27">
        <v>88</v>
      </c>
      <c r="C103" s="27" t="s">
        <v>39</v>
      </c>
      <c r="D103" s="110">
        <v>30409030</v>
      </c>
      <c r="E103" s="29" t="s">
        <v>358</v>
      </c>
      <c r="F103" s="29" t="s">
        <v>54</v>
      </c>
      <c r="G103" s="30" t="s">
        <v>329</v>
      </c>
      <c r="H103" s="42" t="s">
        <v>330</v>
      </c>
      <c r="I103" s="88" t="s">
        <v>72</v>
      </c>
      <c r="J103" s="88">
        <v>1394399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1"/>
      <c r="Q103" s="31"/>
      <c r="R103" s="31"/>
      <c r="S103" s="31"/>
      <c r="T103" s="31"/>
      <c r="U103" s="31"/>
      <c r="V103" s="31"/>
      <c r="W103" s="31"/>
      <c r="X103" s="31"/>
      <c r="Y103" s="31">
        <f t="shared" si="6"/>
        <v>0</v>
      </c>
      <c r="Z103" s="32">
        <v>161534</v>
      </c>
      <c r="AA103" s="33">
        <v>17</v>
      </c>
      <c r="AB103" s="41">
        <v>44245</v>
      </c>
      <c r="AC103" s="89">
        <v>44267</v>
      </c>
      <c r="AD103" s="32"/>
      <c r="AE103" s="35"/>
      <c r="AF103" s="36"/>
      <c r="AG103" s="89"/>
      <c r="AH103" s="32"/>
      <c r="AI103" s="33"/>
      <c r="AJ103" s="36"/>
      <c r="AK103" s="89"/>
      <c r="AL103" s="32"/>
      <c r="AM103" s="33"/>
      <c r="AN103" s="36"/>
      <c r="AO103" s="89"/>
      <c r="AP103" s="32"/>
      <c r="AQ103" s="33"/>
      <c r="AR103" s="36"/>
      <c r="AS103" s="89"/>
      <c r="AT103" s="37">
        <f t="shared" si="7"/>
        <v>161534</v>
      </c>
      <c r="AU103" s="38">
        <f t="shared" si="8"/>
        <v>161534</v>
      </c>
    </row>
    <row r="104" spans="2:47" s="26" customFormat="1" ht="22.5" x14ac:dyDescent="0.25">
      <c r="B104" s="27">
        <v>89</v>
      </c>
      <c r="C104" s="27" t="s">
        <v>39</v>
      </c>
      <c r="D104" s="110">
        <v>30422981</v>
      </c>
      <c r="E104" s="29" t="s">
        <v>357</v>
      </c>
      <c r="F104" s="29" t="s">
        <v>54</v>
      </c>
      <c r="G104" s="30" t="s">
        <v>329</v>
      </c>
      <c r="H104" s="42" t="s">
        <v>337</v>
      </c>
      <c r="I104" s="88" t="s">
        <v>72</v>
      </c>
      <c r="J104" s="88">
        <v>598352</v>
      </c>
      <c r="K104" s="31">
        <v>0</v>
      </c>
      <c r="L104" s="31">
        <v>596307</v>
      </c>
      <c r="M104" s="31">
        <v>0</v>
      </c>
      <c r="N104" s="31">
        <v>0</v>
      </c>
      <c r="O104" s="31">
        <v>0</v>
      </c>
      <c r="P104" s="31"/>
      <c r="Q104" s="31"/>
      <c r="R104" s="31"/>
      <c r="S104" s="31"/>
      <c r="T104" s="31"/>
      <c r="U104" s="31"/>
      <c r="V104" s="31"/>
      <c r="W104" s="31"/>
      <c r="X104" s="31"/>
      <c r="Y104" s="31">
        <f t="shared" si="6"/>
        <v>0</v>
      </c>
      <c r="Z104" s="32">
        <v>1</v>
      </c>
      <c r="AA104" s="33">
        <v>17</v>
      </c>
      <c r="AB104" s="41">
        <v>44245</v>
      </c>
      <c r="AC104" s="89">
        <v>44267</v>
      </c>
      <c r="AD104" s="32"/>
      <c r="AE104" s="35"/>
      <c r="AF104" s="36"/>
      <c r="AG104" s="89"/>
      <c r="AH104" s="32"/>
      <c r="AI104" s="33"/>
      <c r="AJ104" s="36"/>
      <c r="AK104" s="89"/>
      <c r="AL104" s="32"/>
      <c r="AM104" s="33"/>
      <c r="AN104" s="36"/>
      <c r="AO104" s="89"/>
      <c r="AP104" s="32"/>
      <c r="AQ104" s="33"/>
      <c r="AR104" s="36"/>
      <c r="AS104" s="89"/>
      <c r="AT104" s="37">
        <f t="shared" si="7"/>
        <v>1</v>
      </c>
      <c r="AU104" s="38">
        <f t="shared" si="8"/>
        <v>1</v>
      </c>
    </row>
    <row r="105" spans="2:47" s="26" customFormat="1" x14ac:dyDescent="0.25">
      <c r="B105" s="27">
        <v>90</v>
      </c>
      <c r="C105" s="27" t="s">
        <v>39</v>
      </c>
      <c r="D105" s="110">
        <v>30137703</v>
      </c>
      <c r="E105" s="29" t="s">
        <v>356</v>
      </c>
      <c r="F105" s="29" t="s">
        <v>60</v>
      </c>
      <c r="G105" s="30" t="s">
        <v>329</v>
      </c>
      <c r="H105" s="42" t="s">
        <v>351</v>
      </c>
      <c r="I105" s="88" t="s">
        <v>72</v>
      </c>
      <c r="J105" s="88">
        <v>181470</v>
      </c>
      <c r="K105" s="31">
        <v>1825</v>
      </c>
      <c r="L105" s="31">
        <v>0</v>
      </c>
      <c r="M105" s="31">
        <v>0</v>
      </c>
      <c r="N105" s="31">
        <v>0</v>
      </c>
      <c r="O105" s="31">
        <v>0</v>
      </c>
      <c r="P105" s="31"/>
      <c r="Q105" s="31"/>
      <c r="R105" s="31"/>
      <c r="S105" s="31"/>
      <c r="T105" s="31"/>
      <c r="U105" s="31"/>
      <c r="V105" s="31"/>
      <c r="W105" s="31"/>
      <c r="X105" s="31"/>
      <c r="Y105" s="31">
        <f t="shared" si="6"/>
        <v>0</v>
      </c>
      <c r="Z105" s="32">
        <v>100000</v>
      </c>
      <c r="AA105" s="33">
        <v>17</v>
      </c>
      <c r="AB105" s="41">
        <v>44245</v>
      </c>
      <c r="AC105" s="89">
        <v>44267</v>
      </c>
      <c r="AD105" s="32"/>
      <c r="AE105" s="35"/>
      <c r="AF105" s="36"/>
      <c r="AG105" s="89"/>
      <c r="AH105" s="32"/>
      <c r="AI105" s="33"/>
      <c r="AJ105" s="36"/>
      <c r="AK105" s="89"/>
      <c r="AL105" s="32"/>
      <c r="AM105" s="33"/>
      <c r="AN105" s="36"/>
      <c r="AO105" s="89"/>
      <c r="AP105" s="32"/>
      <c r="AQ105" s="33"/>
      <c r="AR105" s="36"/>
      <c r="AS105" s="89"/>
      <c r="AT105" s="37">
        <f t="shared" si="7"/>
        <v>100000</v>
      </c>
      <c r="AU105" s="38">
        <f t="shared" si="8"/>
        <v>100000</v>
      </c>
    </row>
    <row r="106" spans="2:47" s="26" customFormat="1" ht="22.5" x14ac:dyDescent="0.25">
      <c r="B106" s="27">
        <v>91</v>
      </c>
      <c r="C106" s="27" t="s">
        <v>39</v>
      </c>
      <c r="D106" s="110">
        <v>40023348</v>
      </c>
      <c r="E106" s="29" t="s">
        <v>355</v>
      </c>
      <c r="F106" s="29" t="s">
        <v>54</v>
      </c>
      <c r="G106" s="30" t="s">
        <v>329</v>
      </c>
      <c r="H106" s="42" t="s">
        <v>337</v>
      </c>
      <c r="I106" s="88" t="s">
        <v>72</v>
      </c>
      <c r="J106" s="88">
        <v>1100574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1"/>
      <c r="Q106" s="31"/>
      <c r="R106" s="31"/>
      <c r="S106" s="31"/>
      <c r="T106" s="31"/>
      <c r="U106" s="31"/>
      <c r="V106" s="31"/>
      <c r="W106" s="31"/>
      <c r="X106" s="31"/>
      <c r="Y106" s="31">
        <f t="shared" si="6"/>
        <v>0</v>
      </c>
      <c r="Z106" s="32">
        <v>312781</v>
      </c>
      <c r="AA106" s="33">
        <v>17</v>
      </c>
      <c r="AB106" s="41">
        <v>44245</v>
      </c>
      <c r="AC106" s="89">
        <v>44267</v>
      </c>
      <c r="AD106" s="32"/>
      <c r="AE106" s="35"/>
      <c r="AF106" s="36"/>
      <c r="AG106" s="89"/>
      <c r="AH106" s="32"/>
      <c r="AI106" s="33"/>
      <c r="AJ106" s="36"/>
      <c r="AK106" s="89"/>
      <c r="AL106" s="32"/>
      <c r="AM106" s="33"/>
      <c r="AN106" s="36"/>
      <c r="AO106" s="89"/>
      <c r="AP106" s="32"/>
      <c r="AQ106" s="33"/>
      <c r="AR106" s="36"/>
      <c r="AS106" s="89"/>
      <c r="AT106" s="37">
        <f t="shared" si="7"/>
        <v>312781</v>
      </c>
      <c r="AU106" s="38">
        <f t="shared" si="8"/>
        <v>312781</v>
      </c>
    </row>
    <row r="107" spans="2:47" s="26" customFormat="1" ht="33.75" x14ac:dyDescent="0.25">
      <c r="B107" s="27">
        <v>92</v>
      </c>
      <c r="C107" s="27" t="s">
        <v>42</v>
      </c>
      <c r="D107" s="28">
        <v>40018056</v>
      </c>
      <c r="E107" s="29" t="s">
        <v>354</v>
      </c>
      <c r="F107" s="29" t="s">
        <v>54</v>
      </c>
      <c r="G107" s="30" t="s">
        <v>329</v>
      </c>
      <c r="H107" s="42" t="s">
        <v>351</v>
      </c>
      <c r="I107" s="88" t="s">
        <v>72</v>
      </c>
      <c r="J107" s="88">
        <v>141625</v>
      </c>
      <c r="K107" s="31">
        <v>0</v>
      </c>
      <c r="L107" s="31">
        <v>42487</v>
      </c>
      <c r="M107" s="31">
        <v>0</v>
      </c>
      <c r="N107" s="31">
        <v>0</v>
      </c>
      <c r="O107" s="31">
        <v>0</v>
      </c>
      <c r="P107" s="31"/>
      <c r="Q107" s="31"/>
      <c r="R107" s="31"/>
      <c r="S107" s="31"/>
      <c r="T107" s="31"/>
      <c r="U107" s="31"/>
      <c r="V107" s="31"/>
      <c r="W107" s="31"/>
      <c r="X107" s="31"/>
      <c r="Y107" s="31">
        <f t="shared" si="6"/>
        <v>0</v>
      </c>
      <c r="Z107" s="32">
        <v>1</v>
      </c>
      <c r="AA107" s="33">
        <v>24</v>
      </c>
      <c r="AB107" s="41">
        <v>44260</v>
      </c>
      <c r="AC107" s="89">
        <v>44279</v>
      </c>
      <c r="AD107" s="32"/>
      <c r="AE107" s="35"/>
      <c r="AF107" s="36"/>
      <c r="AG107" s="89"/>
      <c r="AH107" s="32"/>
      <c r="AI107" s="33"/>
      <c r="AJ107" s="36"/>
      <c r="AK107" s="89"/>
      <c r="AL107" s="32"/>
      <c r="AM107" s="33"/>
      <c r="AN107" s="36"/>
      <c r="AO107" s="89"/>
      <c r="AP107" s="32"/>
      <c r="AQ107" s="33"/>
      <c r="AR107" s="36"/>
      <c r="AS107" s="89"/>
      <c r="AT107" s="37">
        <f t="shared" si="7"/>
        <v>1</v>
      </c>
      <c r="AU107" s="38">
        <f t="shared" si="8"/>
        <v>1</v>
      </c>
    </row>
    <row r="108" spans="2:47" s="26" customFormat="1" ht="22.5" x14ac:dyDescent="0.25">
      <c r="B108" s="27">
        <v>93</v>
      </c>
      <c r="C108" s="27" t="s">
        <v>42</v>
      </c>
      <c r="D108" s="28">
        <v>40016748</v>
      </c>
      <c r="E108" s="29" t="s">
        <v>353</v>
      </c>
      <c r="F108" s="29" t="s">
        <v>54</v>
      </c>
      <c r="G108" s="30" t="s">
        <v>329</v>
      </c>
      <c r="H108" s="42" t="s">
        <v>62</v>
      </c>
      <c r="I108" s="88" t="s">
        <v>72</v>
      </c>
      <c r="J108" s="88">
        <v>172766</v>
      </c>
      <c r="K108" s="31">
        <v>0</v>
      </c>
      <c r="L108" s="31">
        <v>91892</v>
      </c>
      <c r="M108" s="31">
        <v>0</v>
      </c>
      <c r="N108" s="31">
        <v>0</v>
      </c>
      <c r="O108" s="31">
        <v>0</v>
      </c>
      <c r="P108" s="31"/>
      <c r="Q108" s="31"/>
      <c r="R108" s="31"/>
      <c r="S108" s="31"/>
      <c r="T108" s="31"/>
      <c r="U108" s="31"/>
      <c r="V108" s="31"/>
      <c r="W108" s="31"/>
      <c r="X108" s="31"/>
      <c r="Y108" s="31">
        <f t="shared" si="6"/>
        <v>0</v>
      </c>
      <c r="Z108" s="32">
        <v>16913</v>
      </c>
      <c r="AA108" s="33">
        <v>24</v>
      </c>
      <c r="AB108" s="41">
        <v>44260</v>
      </c>
      <c r="AC108" s="89">
        <v>44279</v>
      </c>
      <c r="AD108" s="32"/>
      <c r="AE108" s="35"/>
      <c r="AF108" s="36"/>
      <c r="AG108" s="89"/>
      <c r="AH108" s="32"/>
      <c r="AI108" s="33"/>
      <c r="AJ108" s="36"/>
      <c r="AK108" s="89"/>
      <c r="AL108" s="32"/>
      <c r="AM108" s="33"/>
      <c r="AN108" s="36"/>
      <c r="AO108" s="89"/>
      <c r="AP108" s="32"/>
      <c r="AQ108" s="33"/>
      <c r="AR108" s="36"/>
      <c r="AS108" s="89"/>
      <c r="AT108" s="37">
        <f t="shared" si="7"/>
        <v>16913</v>
      </c>
      <c r="AU108" s="38">
        <f t="shared" si="8"/>
        <v>16913</v>
      </c>
    </row>
    <row r="109" spans="2:47" s="26" customFormat="1" x14ac:dyDescent="0.25">
      <c r="B109" s="27">
        <v>94</v>
      </c>
      <c r="C109" s="27" t="s">
        <v>39</v>
      </c>
      <c r="D109" s="28">
        <v>30117378</v>
      </c>
      <c r="E109" s="29" t="s">
        <v>352</v>
      </c>
      <c r="F109" s="29" t="s">
        <v>54</v>
      </c>
      <c r="G109" s="30" t="s">
        <v>329</v>
      </c>
      <c r="H109" s="42" t="s">
        <v>351</v>
      </c>
      <c r="I109" s="88" t="s">
        <v>72</v>
      </c>
      <c r="J109" s="88">
        <v>2186463</v>
      </c>
      <c r="K109" s="31">
        <v>0</v>
      </c>
      <c r="L109" s="31">
        <v>1044153</v>
      </c>
      <c r="M109" s="31">
        <v>0</v>
      </c>
      <c r="N109" s="31">
        <v>0</v>
      </c>
      <c r="O109" s="31">
        <v>0</v>
      </c>
      <c r="P109" s="31"/>
      <c r="Q109" s="31"/>
      <c r="R109" s="31"/>
      <c r="S109" s="31"/>
      <c r="T109" s="31"/>
      <c r="U109" s="31"/>
      <c r="V109" s="31"/>
      <c r="W109" s="31"/>
      <c r="X109" s="31"/>
      <c r="Y109" s="31">
        <f t="shared" si="6"/>
        <v>0</v>
      </c>
      <c r="Z109" s="32">
        <v>2163</v>
      </c>
      <c r="AA109" s="33">
        <v>24</v>
      </c>
      <c r="AB109" s="41">
        <v>44260</v>
      </c>
      <c r="AC109" s="89">
        <v>44279</v>
      </c>
      <c r="AD109" s="32"/>
      <c r="AE109" s="35"/>
      <c r="AF109" s="36"/>
      <c r="AG109" s="89"/>
      <c r="AH109" s="32"/>
      <c r="AI109" s="33"/>
      <c r="AJ109" s="36"/>
      <c r="AK109" s="89"/>
      <c r="AL109" s="32"/>
      <c r="AM109" s="33"/>
      <c r="AN109" s="36"/>
      <c r="AO109" s="89"/>
      <c r="AP109" s="32"/>
      <c r="AQ109" s="33"/>
      <c r="AR109" s="36"/>
      <c r="AS109" s="89"/>
      <c r="AT109" s="37">
        <f t="shared" si="7"/>
        <v>2163</v>
      </c>
      <c r="AU109" s="38">
        <f t="shared" si="8"/>
        <v>2163</v>
      </c>
    </row>
    <row r="110" spans="2:47" s="26" customFormat="1" ht="33.75" x14ac:dyDescent="0.25">
      <c r="B110" s="27">
        <v>95</v>
      </c>
      <c r="C110" s="27" t="s">
        <v>39</v>
      </c>
      <c r="D110" s="28">
        <v>40013114</v>
      </c>
      <c r="E110" s="29" t="s">
        <v>350</v>
      </c>
      <c r="F110" s="29" t="s">
        <v>54</v>
      </c>
      <c r="G110" s="30" t="s">
        <v>329</v>
      </c>
      <c r="H110" s="42" t="s">
        <v>349</v>
      </c>
      <c r="I110" s="88" t="s">
        <v>72</v>
      </c>
      <c r="J110" s="88">
        <v>1509331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1"/>
      <c r="Q110" s="31"/>
      <c r="R110" s="31"/>
      <c r="S110" s="31"/>
      <c r="T110" s="31"/>
      <c r="U110" s="31"/>
      <c r="V110" s="31"/>
      <c r="W110" s="31"/>
      <c r="X110" s="31"/>
      <c r="Y110" s="31">
        <f t="shared" si="6"/>
        <v>0</v>
      </c>
      <c r="Z110" s="32">
        <v>4199</v>
      </c>
      <c r="AA110" s="33">
        <v>24</v>
      </c>
      <c r="AB110" s="41">
        <v>44260</v>
      </c>
      <c r="AC110" s="89">
        <v>44279</v>
      </c>
      <c r="AD110" s="32"/>
      <c r="AE110" s="35"/>
      <c r="AF110" s="36"/>
      <c r="AG110" s="89"/>
      <c r="AH110" s="32"/>
      <c r="AI110" s="33"/>
      <c r="AJ110" s="36"/>
      <c r="AK110" s="89"/>
      <c r="AL110" s="32"/>
      <c r="AM110" s="33"/>
      <c r="AN110" s="36"/>
      <c r="AO110" s="89"/>
      <c r="AP110" s="32"/>
      <c r="AQ110" s="33"/>
      <c r="AR110" s="36"/>
      <c r="AS110" s="89"/>
      <c r="AT110" s="37">
        <f t="shared" si="7"/>
        <v>4199</v>
      </c>
      <c r="AU110" s="38">
        <f t="shared" si="8"/>
        <v>4199</v>
      </c>
    </row>
    <row r="111" spans="2:47" s="26" customFormat="1" ht="33.75" x14ac:dyDescent="0.25">
      <c r="B111" s="27">
        <v>96</v>
      </c>
      <c r="C111" s="27" t="s">
        <v>39</v>
      </c>
      <c r="D111" s="28">
        <v>40018087</v>
      </c>
      <c r="E111" s="29" t="s">
        <v>348</v>
      </c>
      <c r="F111" s="29" t="s">
        <v>54</v>
      </c>
      <c r="G111" s="30" t="s">
        <v>329</v>
      </c>
      <c r="H111" s="42" t="s">
        <v>347</v>
      </c>
      <c r="I111" s="88" t="s">
        <v>72</v>
      </c>
      <c r="J111" s="88">
        <v>45028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1"/>
      <c r="Q111" s="31"/>
      <c r="R111" s="31"/>
      <c r="S111" s="31"/>
      <c r="T111" s="31"/>
      <c r="U111" s="31"/>
      <c r="V111" s="31"/>
      <c r="W111" s="31"/>
      <c r="X111" s="31"/>
      <c r="Y111" s="31">
        <f t="shared" si="6"/>
        <v>0</v>
      </c>
      <c r="Z111" s="32">
        <v>1645</v>
      </c>
      <c r="AA111" s="33">
        <v>24</v>
      </c>
      <c r="AB111" s="41">
        <v>44260</v>
      </c>
      <c r="AC111" s="89">
        <v>44279</v>
      </c>
      <c r="AD111" s="32"/>
      <c r="AE111" s="35"/>
      <c r="AF111" s="36"/>
      <c r="AG111" s="89"/>
      <c r="AH111" s="32"/>
      <c r="AI111" s="33"/>
      <c r="AJ111" s="36"/>
      <c r="AK111" s="89"/>
      <c r="AL111" s="32"/>
      <c r="AM111" s="33"/>
      <c r="AN111" s="36"/>
      <c r="AO111" s="89"/>
      <c r="AP111" s="32"/>
      <c r="AQ111" s="33"/>
      <c r="AR111" s="36"/>
      <c r="AS111" s="89"/>
      <c r="AT111" s="37">
        <f t="shared" si="7"/>
        <v>1645</v>
      </c>
      <c r="AU111" s="38">
        <f t="shared" si="8"/>
        <v>1645</v>
      </c>
    </row>
    <row r="112" spans="2:47" s="26" customFormat="1" ht="22.5" x14ac:dyDescent="0.25">
      <c r="B112" s="27">
        <v>97</v>
      </c>
      <c r="C112" s="27" t="s">
        <v>39</v>
      </c>
      <c r="D112" s="28">
        <v>40023359</v>
      </c>
      <c r="E112" s="29" t="s">
        <v>346</v>
      </c>
      <c r="F112" s="29" t="s">
        <v>54</v>
      </c>
      <c r="G112" s="30" t="s">
        <v>329</v>
      </c>
      <c r="H112" s="42" t="s">
        <v>345</v>
      </c>
      <c r="I112" s="88" t="s">
        <v>72</v>
      </c>
      <c r="J112" s="88">
        <v>4605788</v>
      </c>
      <c r="K112" s="31">
        <v>0</v>
      </c>
      <c r="L112" s="31">
        <v>4449347</v>
      </c>
      <c r="M112" s="31">
        <v>0</v>
      </c>
      <c r="N112" s="31">
        <v>0</v>
      </c>
      <c r="O112" s="31">
        <v>0</v>
      </c>
      <c r="P112" s="31"/>
      <c r="Q112" s="31"/>
      <c r="R112" s="31"/>
      <c r="S112" s="31"/>
      <c r="T112" s="31"/>
      <c r="U112" s="31"/>
      <c r="V112" s="31"/>
      <c r="W112" s="31"/>
      <c r="X112" s="31"/>
      <c r="Y112" s="31">
        <f t="shared" ref="Y112:Y129" si="9">SUM(M112:X112)</f>
        <v>0</v>
      </c>
      <c r="Z112" s="32">
        <v>3068</v>
      </c>
      <c r="AA112" s="33">
        <v>24</v>
      </c>
      <c r="AB112" s="41">
        <v>44260</v>
      </c>
      <c r="AC112" s="89">
        <v>44279</v>
      </c>
      <c r="AD112" s="32"/>
      <c r="AE112" s="35"/>
      <c r="AF112" s="36"/>
      <c r="AG112" s="89"/>
      <c r="AH112" s="32"/>
      <c r="AI112" s="33"/>
      <c r="AJ112" s="36"/>
      <c r="AK112" s="89"/>
      <c r="AL112" s="32"/>
      <c r="AM112" s="33"/>
      <c r="AN112" s="36"/>
      <c r="AO112" s="89"/>
      <c r="AP112" s="32"/>
      <c r="AQ112" s="33"/>
      <c r="AR112" s="36"/>
      <c r="AS112" s="89"/>
      <c r="AT112" s="37">
        <f t="shared" ref="AT112:AT129" si="10">+Z112+AD112+AH112+AL112+AP112</f>
        <v>3068</v>
      </c>
      <c r="AU112" s="38">
        <f t="shared" ref="AU112:AU129" si="11">+AT112-Y112</f>
        <v>3068</v>
      </c>
    </row>
    <row r="113" spans="2:47" s="26" customFormat="1" ht="22.5" x14ac:dyDescent="0.25">
      <c r="B113" s="27">
        <v>98</v>
      </c>
      <c r="C113" s="27" t="s">
        <v>39</v>
      </c>
      <c r="D113" s="28">
        <v>30109984</v>
      </c>
      <c r="E113" s="29" t="s">
        <v>344</v>
      </c>
      <c r="F113" s="29" t="s">
        <v>54</v>
      </c>
      <c r="G113" s="30" t="s">
        <v>329</v>
      </c>
      <c r="H113" s="42" t="s">
        <v>62</v>
      </c>
      <c r="I113" s="88" t="s">
        <v>72</v>
      </c>
      <c r="J113" s="88">
        <v>265709</v>
      </c>
      <c r="K113" s="31">
        <v>0</v>
      </c>
      <c r="L113" s="31">
        <v>234046</v>
      </c>
      <c r="M113" s="31">
        <v>0</v>
      </c>
      <c r="N113" s="31">
        <v>0</v>
      </c>
      <c r="O113" s="31">
        <v>0</v>
      </c>
      <c r="P113" s="31"/>
      <c r="Q113" s="31"/>
      <c r="R113" s="31"/>
      <c r="S113" s="31"/>
      <c r="T113" s="31"/>
      <c r="U113" s="31"/>
      <c r="V113" s="31"/>
      <c r="W113" s="31"/>
      <c r="X113" s="31"/>
      <c r="Y113" s="31">
        <f t="shared" si="9"/>
        <v>0</v>
      </c>
      <c r="Z113" s="32">
        <v>1461</v>
      </c>
      <c r="AA113" s="33">
        <v>24</v>
      </c>
      <c r="AB113" s="41">
        <v>44260</v>
      </c>
      <c r="AC113" s="89">
        <v>44279</v>
      </c>
      <c r="AD113" s="32"/>
      <c r="AE113" s="35"/>
      <c r="AF113" s="36"/>
      <c r="AG113" s="89"/>
      <c r="AH113" s="32"/>
      <c r="AI113" s="33"/>
      <c r="AJ113" s="36"/>
      <c r="AK113" s="89"/>
      <c r="AL113" s="32"/>
      <c r="AM113" s="33"/>
      <c r="AN113" s="36"/>
      <c r="AO113" s="89"/>
      <c r="AP113" s="32"/>
      <c r="AQ113" s="33"/>
      <c r="AR113" s="36"/>
      <c r="AS113" s="89"/>
      <c r="AT113" s="37">
        <f t="shared" si="10"/>
        <v>1461</v>
      </c>
      <c r="AU113" s="38">
        <f t="shared" si="11"/>
        <v>1461</v>
      </c>
    </row>
    <row r="114" spans="2:47" s="26" customFormat="1" ht="22.5" x14ac:dyDescent="0.25">
      <c r="B114" s="27">
        <v>99</v>
      </c>
      <c r="C114" s="27" t="s">
        <v>39</v>
      </c>
      <c r="D114" s="28">
        <v>30079302</v>
      </c>
      <c r="E114" s="29" t="s">
        <v>343</v>
      </c>
      <c r="F114" s="29" t="s">
        <v>54</v>
      </c>
      <c r="G114" s="30" t="s">
        <v>329</v>
      </c>
      <c r="H114" s="42" t="s">
        <v>337</v>
      </c>
      <c r="I114" s="88" t="s">
        <v>72</v>
      </c>
      <c r="J114" s="88">
        <v>193369</v>
      </c>
      <c r="K114" s="31">
        <v>1716</v>
      </c>
      <c r="L114" s="31">
        <v>0</v>
      </c>
      <c r="M114" s="31">
        <v>0</v>
      </c>
      <c r="N114" s="31">
        <v>0</v>
      </c>
      <c r="O114" s="31">
        <v>0</v>
      </c>
      <c r="P114" s="31"/>
      <c r="Q114" s="31"/>
      <c r="R114" s="31"/>
      <c r="S114" s="31"/>
      <c r="T114" s="31"/>
      <c r="U114" s="31"/>
      <c r="V114" s="31"/>
      <c r="W114" s="31"/>
      <c r="X114" s="31"/>
      <c r="Y114" s="31">
        <f t="shared" si="9"/>
        <v>0</v>
      </c>
      <c r="Z114" s="32">
        <v>2</v>
      </c>
      <c r="AA114" s="33">
        <v>24</v>
      </c>
      <c r="AB114" s="41">
        <v>44260</v>
      </c>
      <c r="AC114" s="89">
        <v>44279</v>
      </c>
      <c r="AD114" s="32"/>
      <c r="AE114" s="35"/>
      <c r="AF114" s="36"/>
      <c r="AG114" s="89"/>
      <c r="AH114" s="32"/>
      <c r="AI114" s="33"/>
      <c r="AJ114" s="36"/>
      <c r="AK114" s="89"/>
      <c r="AL114" s="32"/>
      <c r="AM114" s="33"/>
      <c r="AN114" s="36"/>
      <c r="AO114" s="89"/>
      <c r="AP114" s="32"/>
      <c r="AQ114" s="33"/>
      <c r="AR114" s="36"/>
      <c r="AS114" s="89"/>
      <c r="AT114" s="37">
        <f t="shared" si="10"/>
        <v>2</v>
      </c>
      <c r="AU114" s="38">
        <f t="shared" si="11"/>
        <v>2</v>
      </c>
    </row>
    <row r="115" spans="2:47" s="26" customFormat="1" ht="22.5" x14ac:dyDescent="0.25">
      <c r="B115" s="27">
        <v>100</v>
      </c>
      <c r="C115" s="27" t="s">
        <v>39</v>
      </c>
      <c r="D115" s="28">
        <v>30428594</v>
      </c>
      <c r="E115" s="29" t="s">
        <v>342</v>
      </c>
      <c r="F115" s="29" t="s">
        <v>54</v>
      </c>
      <c r="G115" s="30" t="s">
        <v>329</v>
      </c>
      <c r="H115" s="42" t="s">
        <v>340</v>
      </c>
      <c r="I115" s="88" t="s">
        <v>72</v>
      </c>
      <c r="J115" s="88">
        <v>1244336</v>
      </c>
      <c r="K115" s="31">
        <v>0</v>
      </c>
      <c r="L115" s="31">
        <v>2095</v>
      </c>
      <c r="M115" s="31">
        <v>0</v>
      </c>
      <c r="N115" s="31">
        <v>0</v>
      </c>
      <c r="O115" s="31">
        <v>0</v>
      </c>
      <c r="P115" s="31"/>
      <c r="Q115" s="31"/>
      <c r="R115" s="31"/>
      <c r="S115" s="31"/>
      <c r="T115" s="31"/>
      <c r="U115" s="31"/>
      <c r="V115" s="31"/>
      <c r="W115" s="31"/>
      <c r="X115" s="31"/>
      <c r="Y115" s="31">
        <f t="shared" si="9"/>
        <v>0</v>
      </c>
      <c r="Z115" s="32">
        <v>1</v>
      </c>
      <c r="AA115" s="33">
        <v>24</v>
      </c>
      <c r="AB115" s="41">
        <v>44260</v>
      </c>
      <c r="AC115" s="89">
        <v>44279</v>
      </c>
      <c r="AD115" s="32"/>
      <c r="AE115" s="35"/>
      <c r="AF115" s="36"/>
      <c r="AG115" s="89"/>
      <c r="AH115" s="32"/>
      <c r="AI115" s="33"/>
      <c r="AJ115" s="36"/>
      <c r="AK115" s="89"/>
      <c r="AL115" s="32"/>
      <c r="AM115" s="33"/>
      <c r="AN115" s="36"/>
      <c r="AO115" s="89"/>
      <c r="AP115" s="32"/>
      <c r="AQ115" s="33"/>
      <c r="AR115" s="36"/>
      <c r="AS115" s="89"/>
      <c r="AT115" s="37">
        <f t="shared" si="10"/>
        <v>1</v>
      </c>
      <c r="AU115" s="38">
        <f t="shared" si="11"/>
        <v>1</v>
      </c>
    </row>
    <row r="116" spans="2:47" s="26" customFormat="1" ht="22.5" x14ac:dyDescent="0.25">
      <c r="B116" s="27">
        <v>101</v>
      </c>
      <c r="C116" s="27" t="s">
        <v>39</v>
      </c>
      <c r="D116" s="28">
        <v>30102625</v>
      </c>
      <c r="E116" s="29" t="s">
        <v>341</v>
      </c>
      <c r="F116" s="29" t="s">
        <v>54</v>
      </c>
      <c r="G116" s="30" t="s">
        <v>329</v>
      </c>
      <c r="H116" s="42" t="s">
        <v>340</v>
      </c>
      <c r="I116" s="88" t="s">
        <v>57</v>
      </c>
      <c r="J116" s="88">
        <v>3170902</v>
      </c>
      <c r="K116" s="31">
        <v>3111633</v>
      </c>
      <c r="L116" s="31">
        <v>0</v>
      </c>
      <c r="M116" s="31">
        <v>0</v>
      </c>
      <c r="N116" s="31">
        <v>0</v>
      </c>
      <c r="O116" s="31">
        <v>0</v>
      </c>
      <c r="P116" s="31"/>
      <c r="Q116" s="31"/>
      <c r="R116" s="31"/>
      <c r="S116" s="31"/>
      <c r="T116" s="31"/>
      <c r="U116" s="31"/>
      <c r="V116" s="31"/>
      <c r="W116" s="31"/>
      <c r="X116" s="31"/>
      <c r="Y116" s="31">
        <f t="shared" si="9"/>
        <v>0</v>
      </c>
      <c r="Z116" s="32">
        <v>59269</v>
      </c>
      <c r="AA116" s="33">
        <v>26</v>
      </c>
      <c r="AB116" s="41">
        <v>44264</v>
      </c>
      <c r="AC116" s="89">
        <v>44279</v>
      </c>
      <c r="AD116" s="32"/>
      <c r="AE116" s="35"/>
      <c r="AF116" s="36"/>
      <c r="AG116" s="89"/>
      <c r="AH116" s="32"/>
      <c r="AI116" s="33"/>
      <c r="AJ116" s="36"/>
      <c r="AK116" s="89"/>
      <c r="AL116" s="32"/>
      <c r="AM116" s="33"/>
      <c r="AN116" s="36"/>
      <c r="AO116" s="89"/>
      <c r="AP116" s="32"/>
      <c r="AQ116" s="33"/>
      <c r="AR116" s="36"/>
      <c r="AS116" s="89"/>
      <c r="AT116" s="37">
        <f t="shared" si="10"/>
        <v>59269</v>
      </c>
      <c r="AU116" s="38">
        <f t="shared" si="11"/>
        <v>59269</v>
      </c>
    </row>
    <row r="117" spans="2:47" s="26" customFormat="1" ht="22.5" x14ac:dyDescent="0.25">
      <c r="B117" s="27">
        <v>102</v>
      </c>
      <c r="C117" s="27" t="s">
        <v>39</v>
      </c>
      <c r="D117" s="28">
        <v>30109893</v>
      </c>
      <c r="E117" s="29" t="s">
        <v>339</v>
      </c>
      <c r="F117" s="29" t="s">
        <v>54</v>
      </c>
      <c r="G117" s="30" t="s">
        <v>329</v>
      </c>
      <c r="H117" s="42" t="s">
        <v>330</v>
      </c>
      <c r="I117" s="88" t="s">
        <v>57</v>
      </c>
      <c r="J117" s="88">
        <v>808729</v>
      </c>
      <c r="K117" s="31">
        <v>806249</v>
      </c>
      <c r="L117" s="31">
        <v>0</v>
      </c>
      <c r="M117" s="31">
        <v>0</v>
      </c>
      <c r="N117" s="31">
        <v>0</v>
      </c>
      <c r="O117" s="31">
        <v>0</v>
      </c>
      <c r="P117" s="31"/>
      <c r="Q117" s="31"/>
      <c r="R117" s="31"/>
      <c r="S117" s="31"/>
      <c r="T117" s="31"/>
      <c r="U117" s="31"/>
      <c r="V117" s="31"/>
      <c r="W117" s="31"/>
      <c r="X117" s="31"/>
      <c r="Y117" s="31">
        <f t="shared" si="9"/>
        <v>0</v>
      </c>
      <c r="Z117" s="32">
        <v>2480</v>
      </c>
      <c r="AA117" s="33">
        <v>30</v>
      </c>
      <c r="AB117" s="41">
        <v>44270</v>
      </c>
      <c r="AC117" s="89">
        <v>44286</v>
      </c>
      <c r="AD117" s="32"/>
      <c r="AE117" s="35"/>
      <c r="AF117" s="36"/>
      <c r="AG117" s="89"/>
      <c r="AH117" s="32"/>
      <c r="AI117" s="33"/>
      <c r="AJ117" s="36"/>
      <c r="AK117" s="89"/>
      <c r="AL117" s="32"/>
      <c r="AM117" s="33"/>
      <c r="AN117" s="36"/>
      <c r="AO117" s="89"/>
      <c r="AP117" s="32"/>
      <c r="AQ117" s="33"/>
      <c r="AR117" s="36"/>
      <c r="AS117" s="89"/>
      <c r="AT117" s="37">
        <f t="shared" si="10"/>
        <v>2480</v>
      </c>
      <c r="AU117" s="38">
        <f t="shared" si="11"/>
        <v>2480</v>
      </c>
    </row>
    <row r="118" spans="2:47" s="26" customFormat="1" ht="22.5" x14ac:dyDescent="0.25">
      <c r="B118" s="27">
        <v>103</v>
      </c>
      <c r="C118" s="27" t="s">
        <v>39</v>
      </c>
      <c r="D118" s="28">
        <v>30121630</v>
      </c>
      <c r="E118" s="29" t="s">
        <v>338</v>
      </c>
      <c r="F118" s="29" t="s">
        <v>54</v>
      </c>
      <c r="G118" s="30" t="s">
        <v>329</v>
      </c>
      <c r="H118" s="42" t="s">
        <v>337</v>
      </c>
      <c r="I118" s="88" t="s">
        <v>57</v>
      </c>
      <c r="J118" s="88">
        <v>1629854</v>
      </c>
      <c r="K118" s="31">
        <v>1629853</v>
      </c>
      <c r="L118" s="31">
        <v>0</v>
      </c>
      <c r="M118" s="31">
        <v>0</v>
      </c>
      <c r="N118" s="31">
        <v>0</v>
      </c>
      <c r="O118" s="31">
        <v>0</v>
      </c>
      <c r="P118" s="31"/>
      <c r="Q118" s="31"/>
      <c r="R118" s="31"/>
      <c r="S118" s="31"/>
      <c r="T118" s="31"/>
      <c r="U118" s="31"/>
      <c r="V118" s="31"/>
      <c r="W118" s="31"/>
      <c r="X118" s="31"/>
      <c r="Y118" s="31">
        <f t="shared" si="9"/>
        <v>0</v>
      </c>
      <c r="Z118" s="32">
        <v>1</v>
      </c>
      <c r="AA118" s="33">
        <v>30</v>
      </c>
      <c r="AB118" s="41">
        <v>44270</v>
      </c>
      <c r="AC118" s="89">
        <v>44286</v>
      </c>
      <c r="AD118" s="32"/>
      <c r="AE118" s="35"/>
      <c r="AF118" s="36"/>
      <c r="AG118" s="89"/>
      <c r="AH118" s="32"/>
      <c r="AI118" s="33"/>
      <c r="AJ118" s="36"/>
      <c r="AK118" s="89"/>
      <c r="AL118" s="32"/>
      <c r="AM118" s="33"/>
      <c r="AN118" s="36"/>
      <c r="AO118" s="89"/>
      <c r="AP118" s="32"/>
      <c r="AQ118" s="33"/>
      <c r="AR118" s="36"/>
      <c r="AS118" s="89"/>
      <c r="AT118" s="37">
        <f t="shared" si="10"/>
        <v>1</v>
      </c>
      <c r="AU118" s="38">
        <f t="shared" si="11"/>
        <v>1</v>
      </c>
    </row>
    <row r="119" spans="2:47" s="26" customFormat="1" ht="22.5" x14ac:dyDescent="0.25">
      <c r="B119" s="27">
        <v>104</v>
      </c>
      <c r="C119" s="27" t="s">
        <v>39</v>
      </c>
      <c r="D119" s="28">
        <v>30131439</v>
      </c>
      <c r="E119" s="29" t="s">
        <v>336</v>
      </c>
      <c r="F119" s="29" t="s">
        <v>54</v>
      </c>
      <c r="G119" s="30" t="s">
        <v>329</v>
      </c>
      <c r="H119" s="42" t="s">
        <v>330</v>
      </c>
      <c r="I119" s="88" t="s">
        <v>57</v>
      </c>
      <c r="J119" s="88">
        <v>886364</v>
      </c>
      <c r="K119" s="31">
        <v>863524</v>
      </c>
      <c r="L119" s="31">
        <v>0</v>
      </c>
      <c r="M119" s="31">
        <v>0</v>
      </c>
      <c r="N119" s="31">
        <v>0</v>
      </c>
      <c r="O119" s="31">
        <v>0</v>
      </c>
      <c r="P119" s="31"/>
      <c r="Q119" s="31"/>
      <c r="R119" s="31"/>
      <c r="S119" s="31"/>
      <c r="T119" s="31"/>
      <c r="U119" s="31"/>
      <c r="V119" s="31"/>
      <c r="W119" s="31"/>
      <c r="X119" s="31"/>
      <c r="Y119" s="31">
        <f t="shared" si="9"/>
        <v>0</v>
      </c>
      <c r="Z119" s="32">
        <v>23340</v>
      </c>
      <c r="AA119" s="33">
        <v>30</v>
      </c>
      <c r="AB119" s="41">
        <v>44270</v>
      </c>
      <c r="AC119" s="89">
        <v>44286</v>
      </c>
      <c r="AD119" s="32"/>
      <c r="AE119" s="35"/>
      <c r="AF119" s="36"/>
      <c r="AG119" s="89"/>
      <c r="AH119" s="32"/>
      <c r="AI119" s="33"/>
      <c r="AJ119" s="36"/>
      <c r="AK119" s="89"/>
      <c r="AL119" s="32"/>
      <c r="AM119" s="33"/>
      <c r="AN119" s="36"/>
      <c r="AO119" s="89"/>
      <c r="AP119" s="32"/>
      <c r="AQ119" s="33"/>
      <c r="AR119" s="36"/>
      <c r="AS119" s="89"/>
      <c r="AT119" s="37">
        <f t="shared" si="10"/>
        <v>23340</v>
      </c>
      <c r="AU119" s="38">
        <f t="shared" si="11"/>
        <v>23340</v>
      </c>
    </row>
    <row r="120" spans="2:47" s="26" customFormat="1" x14ac:dyDescent="0.25">
      <c r="B120" s="27">
        <v>105</v>
      </c>
      <c r="C120" s="27" t="s">
        <v>39</v>
      </c>
      <c r="D120" s="28">
        <v>30089047</v>
      </c>
      <c r="E120" s="29" t="s">
        <v>335</v>
      </c>
      <c r="F120" s="29" t="s">
        <v>54</v>
      </c>
      <c r="G120" s="30" t="s">
        <v>329</v>
      </c>
      <c r="H120" s="42" t="s">
        <v>334</v>
      </c>
      <c r="I120" s="88" t="s">
        <v>72</v>
      </c>
      <c r="J120" s="88">
        <v>1600254</v>
      </c>
      <c r="K120" s="31">
        <v>20050</v>
      </c>
      <c r="L120" s="31">
        <v>328957</v>
      </c>
      <c r="M120" s="31">
        <v>0</v>
      </c>
      <c r="N120" s="31">
        <v>0</v>
      </c>
      <c r="O120" s="31">
        <v>0</v>
      </c>
      <c r="P120" s="31"/>
      <c r="Q120" s="31"/>
      <c r="R120" s="31"/>
      <c r="S120" s="31"/>
      <c r="T120" s="31"/>
      <c r="U120" s="31"/>
      <c r="V120" s="31"/>
      <c r="W120" s="31"/>
      <c r="X120" s="31"/>
      <c r="Y120" s="31">
        <f t="shared" si="9"/>
        <v>0</v>
      </c>
      <c r="Z120" s="32">
        <v>329968</v>
      </c>
      <c r="AA120" s="33">
        <v>31</v>
      </c>
      <c r="AB120" s="41">
        <v>44270</v>
      </c>
      <c r="AC120" s="89">
        <v>44286</v>
      </c>
      <c r="AD120" s="32"/>
      <c r="AE120" s="35"/>
      <c r="AF120" s="36"/>
      <c r="AG120" s="89"/>
      <c r="AH120" s="32"/>
      <c r="AI120" s="33"/>
      <c r="AJ120" s="36"/>
      <c r="AK120" s="89"/>
      <c r="AL120" s="32"/>
      <c r="AM120" s="33"/>
      <c r="AN120" s="36"/>
      <c r="AO120" s="89"/>
      <c r="AP120" s="32"/>
      <c r="AQ120" s="33"/>
      <c r="AR120" s="36"/>
      <c r="AS120" s="89"/>
      <c r="AT120" s="37">
        <f t="shared" si="10"/>
        <v>329968</v>
      </c>
      <c r="AU120" s="38">
        <f t="shared" si="11"/>
        <v>329968</v>
      </c>
    </row>
    <row r="121" spans="2:47" s="26" customFormat="1" ht="22.5" x14ac:dyDescent="0.25">
      <c r="B121" s="27">
        <v>106</v>
      </c>
      <c r="C121" s="27" t="s">
        <v>39</v>
      </c>
      <c r="D121" s="28">
        <v>30486680</v>
      </c>
      <c r="E121" s="29" t="s">
        <v>333</v>
      </c>
      <c r="F121" s="29" t="s">
        <v>54</v>
      </c>
      <c r="G121" s="30" t="s">
        <v>329</v>
      </c>
      <c r="H121" s="42" t="s">
        <v>330</v>
      </c>
      <c r="I121" s="88" t="s">
        <v>72</v>
      </c>
      <c r="J121" s="88">
        <v>1434411</v>
      </c>
      <c r="K121" s="31">
        <v>0</v>
      </c>
      <c r="L121" s="31">
        <v>1321</v>
      </c>
      <c r="M121" s="31">
        <v>0</v>
      </c>
      <c r="N121" s="31">
        <v>0</v>
      </c>
      <c r="O121" s="31">
        <v>0</v>
      </c>
      <c r="P121" s="31"/>
      <c r="Q121" s="31"/>
      <c r="R121" s="31"/>
      <c r="S121" s="31"/>
      <c r="T121" s="31"/>
      <c r="U121" s="31"/>
      <c r="V121" s="31"/>
      <c r="W121" s="31"/>
      <c r="X121" s="31"/>
      <c r="Y121" s="31">
        <f t="shared" si="9"/>
        <v>0</v>
      </c>
      <c r="Z121" s="32">
        <v>2</v>
      </c>
      <c r="AA121" s="33">
        <v>31</v>
      </c>
      <c r="AB121" s="41">
        <v>44270</v>
      </c>
      <c r="AC121" s="89">
        <v>44286</v>
      </c>
      <c r="AD121" s="32"/>
      <c r="AE121" s="35"/>
      <c r="AF121" s="36"/>
      <c r="AG121" s="89"/>
      <c r="AH121" s="32"/>
      <c r="AI121" s="33"/>
      <c r="AJ121" s="36"/>
      <c r="AK121" s="89"/>
      <c r="AL121" s="32"/>
      <c r="AM121" s="33"/>
      <c r="AN121" s="36"/>
      <c r="AO121" s="89"/>
      <c r="AP121" s="32"/>
      <c r="AQ121" s="33"/>
      <c r="AR121" s="36"/>
      <c r="AS121" s="89"/>
      <c r="AT121" s="37">
        <f t="shared" si="10"/>
        <v>2</v>
      </c>
      <c r="AU121" s="38">
        <f t="shared" si="11"/>
        <v>2</v>
      </c>
    </row>
    <row r="122" spans="2:47" s="26" customFormat="1" ht="22.5" x14ac:dyDescent="0.25">
      <c r="B122" s="27">
        <v>107</v>
      </c>
      <c r="C122" s="27" t="s">
        <v>39</v>
      </c>
      <c r="D122" s="28">
        <v>30116812</v>
      </c>
      <c r="E122" s="29" t="s">
        <v>332</v>
      </c>
      <c r="F122" s="29" t="s">
        <v>60</v>
      </c>
      <c r="G122" s="30" t="s">
        <v>329</v>
      </c>
      <c r="H122" s="42" t="s">
        <v>330</v>
      </c>
      <c r="I122" s="88" t="s">
        <v>72</v>
      </c>
      <c r="J122" s="88">
        <v>206178</v>
      </c>
      <c r="K122" s="31">
        <v>5994</v>
      </c>
      <c r="L122" s="31">
        <v>152120</v>
      </c>
      <c r="M122" s="31">
        <v>0</v>
      </c>
      <c r="N122" s="31">
        <v>0</v>
      </c>
      <c r="O122" s="31">
        <v>0</v>
      </c>
      <c r="P122" s="31"/>
      <c r="Q122" s="31"/>
      <c r="R122" s="31"/>
      <c r="S122" s="31"/>
      <c r="T122" s="31"/>
      <c r="U122" s="31"/>
      <c r="V122" s="31"/>
      <c r="W122" s="31"/>
      <c r="X122" s="31"/>
      <c r="Y122" s="31">
        <f t="shared" si="9"/>
        <v>0</v>
      </c>
      <c r="Z122" s="32">
        <v>20000</v>
      </c>
      <c r="AA122" s="33">
        <v>31</v>
      </c>
      <c r="AB122" s="41">
        <v>44270</v>
      </c>
      <c r="AC122" s="89">
        <v>44286</v>
      </c>
      <c r="AD122" s="32"/>
      <c r="AE122" s="35"/>
      <c r="AF122" s="36"/>
      <c r="AG122" s="89"/>
      <c r="AH122" s="32"/>
      <c r="AI122" s="33"/>
      <c r="AJ122" s="36"/>
      <c r="AK122" s="89"/>
      <c r="AL122" s="32"/>
      <c r="AM122" s="33"/>
      <c r="AN122" s="36"/>
      <c r="AO122" s="89"/>
      <c r="AP122" s="32"/>
      <c r="AQ122" s="33"/>
      <c r="AR122" s="36"/>
      <c r="AS122" s="89"/>
      <c r="AT122" s="37">
        <f t="shared" si="10"/>
        <v>20000</v>
      </c>
      <c r="AU122" s="38">
        <f t="shared" si="11"/>
        <v>20000</v>
      </c>
    </row>
    <row r="123" spans="2:47" s="26" customFormat="1" ht="22.5" x14ac:dyDescent="0.25">
      <c r="B123" s="27">
        <v>108</v>
      </c>
      <c r="C123" s="27" t="s">
        <v>39</v>
      </c>
      <c r="D123" s="28">
        <v>40015736</v>
      </c>
      <c r="E123" s="29" t="s">
        <v>331</v>
      </c>
      <c r="F123" s="29" t="s">
        <v>60</v>
      </c>
      <c r="G123" s="30" t="s">
        <v>329</v>
      </c>
      <c r="H123" s="42" t="s">
        <v>330</v>
      </c>
      <c r="I123" s="88" t="s">
        <v>72</v>
      </c>
      <c r="J123" s="88">
        <v>73415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1"/>
      <c r="Q123" s="31"/>
      <c r="R123" s="31"/>
      <c r="S123" s="31"/>
      <c r="T123" s="31"/>
      <c r="U123" s="31"/>
      <c r="V123" s="31"/>
      <c r="W123" s="31"/>
      <c r="X123" s="31"/>
      <c r="Y123" s="31">
        <f t="shared" si="9"/>
        <v>0</v>
      </c>
      <c r="Z123" s="32">
        <v>1</v>
      </c>
      <c r="AA123" s="33">
        <v>31</v>
      </c>
      <c r="AB123" s="41">
        <v>44270</v>
      </c>
      <c r="AC123" s="89">
        <v>44286</v>
      </c>
      <c r="AD123" s="32"/>
      <c r="AE123" s="35"/>
      <c r="AF123" s="36"/>
      <c r="AG123" s="89"/>
      <c r="AH123" s="32"/>
      <c r="AI123" s="33"/>
      <c r="AJ123" s="36"/>
      <c r="AK123" s="89"/>
      <c r="AL123" s="32"/>
      <c r="AM123" s="33"/>
      <c r="AN123" s="36"/>
      <c r="AO123" s="89"/>
      <c r="AP123" s="32"/>
      <c r="AQ123" s="33"/>
      <c r="AR123" s="36"/>
      <c r="AS123" s="89"/>
      <c r="AT123" s="37">
        <f t="shared" si="10"/>
        <v>1</v>
      </c>
      <c r="AU123" s="38">
        <f t="shared" si="11"/>
        <v>1</v>
      </c>
    </row>
    <row r="124" spans="2:47" s="26" customFormat="1" x14ac:dyDescent="0.25">
      <c r="B124" s="27">
        <v>109</v>
      </c>
      <c r="C124" s="27"/>
      <c r="D124" s="28"/>
      <c r="E124" s="29"/>
      <c r="F124" s="29"/>
      <c r="G124" s="30"/>
      <c r="H124" s="42"/>
      <c r="I124" s="88"/>
      <c r="J124" s="88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>
        <f t="shared" si="9"/>
        <v>0</v>
      </c>
      <c r="Z124" s="32"/>
      <c r="AA124" s="33"/>
      <c r="AB124" s="41"/>
      <c r="AC124" s="89"/>
      <c r="AD124" s="32"/>
      <c r="AE124" s="35"/>
      <c r="AF124" s="36"/>
      <c r="AG124" s="89"/>
      <c r="AH124" s="32"/>
      <c r="AI124" s="33"/>
      <c r="AJ124" s="36"/>
      <c r="AK124" s="89"/>
      <c r="AL124" s="32"/>
      <c r="AM124" s="33"/>
      <c r="AN124" s="36"/>
      <c r="AO124" s="89"/>
      <c r="AP124" s="32"/>
      <c r="AQ124" s="33"/>
      <c r="AR124" s="36"/>
      <c r="AS124" s="89"/>
      <c r="AT124" s="37">
        <f t="shared" si="10"/>
        <v>0</v>
      </c>
      <c r="AU124" s="38">
        <f t="shared" si="11"/>
        <v>0</v>
      </c>
    </row>
    <row r="125" spans="2:47" s="26" customFormat="1" x14ac:dyDescent="0.25">
      <c r="B125" s="27">
        <v>110</v>
      </c>
      <c r="C125" s="27"/>
      <c r="D125" s="28"/>
      <c r="E125" s="29"/>
      <c r="F125" s="29"/>
      <c r="G125" s="30"/>
      <c r="H125" s="42"/>
      <c r="I125" s="88"/>
      <c r="J125" s="88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>
        <f t="shared" si="9"/>
        <v>0</v>
      </c>
      <c r="Z125" s="32"/>
      <c r="AA125" s="33"/>
      <c r="AB125" s="41"/>
      <c r="AC125" s="89"/>
      <c r="AD125" s="32"/>
      <c r="AE125" s="35"/>
      <c r="AF125" s="36"/>
      <c r="AG125" s="89"/>
      <c r="AH125" s="32"/>
      <c r="AI125" s="33"/>
      <c r="AJ125" s="36"/>
      <c r="AK125" s="89"/>
      <c r="AL125" s="32"/>
      <c r="AM125" s="33"/>
      <c r="AN125" s="36"/>
      <c r="AO125" s="89"/>
      <c r="AP125" s="32"/>
      <c r="AQ125" s="33"/>
      <c r="AR125" s="36"/>
      <c r="AS125" s="89"/>
      <c r="AT125" s="37">
        <f t="shared" si="10"/>
        <v>0</v>
      </c>
      <c r="AU125" s="38">
        <f t="shared" si="11"/>
        <v>0</v>
      </c>
    </row>
    <row r="126" spans="2:47" s="26" customFormat="1" x14ac:dyDescent="0.25">
      <c r="B126" s="27">
        <v>111</v>
      </c>
      <c r="C126" s="27"/>
      <c r="D126" s="28"/>
      <c r="E126" s="29"/>
      <c r="F126" s="29"/>
      <c r="G126" s="30"/>
      <c r="H126" s="42"/>
      <c r="I126" s="88"/>
      <c r="J126" s="88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>
        <f t="shared" si="9"/>
        <v>0</v>
      </c>
      <c r="Z126" s="32"/>
      <c r="AA126" s="33"/>
      <c r="AB126" s="41"/>
      <c r="AC126" s="89"/>
      <c r="AD126" s="32"/>
      <c r="AE126" s="35"/>
      <c r="AF126" s="36"/>
      <c r="AG126" s="89"/>
      <c r="AH126" s="32"/>
      <c r="AI126" s="33"/>
      <c r="AJ126" s="36"/>
      <c r="AK126" s="89"/>
      <c r="AL126" s="32"/>
      <c r="AM126" s="33"/>
      <c r="AN126" s="36"/>
      <c r="AO126" s="89"/>
      <c r="AP126" s="32"/>
      <c r="AQ126" s="33"/>
      <c r="AR126" s="36"/>
      <c r="AS126" s="89"/>
      <c r="AT126" s="37">
        <f t="shared" si="10"/>
        <v>0</v>
      </c>
      <c r="AU126" s="38">
        <f t="shared" si="11"/>
        <v>0</v>
      </c>
    </row>
    <row r="127" spans="2:47" s="26" customFormat="1" x14ac:dyDescent="0.25">
      <c r="B127" s="27">
        <v>112</v>
      </c>
      <c r="C127" s="27"/>
      <c r="D127" s="28"/>
      <c r="E127" s="29"/>
      <c r="F127" s="29"/>
      <c r="G127" s="30"/>
      <c r="H127" s="42"/>
      <c r="I127" s="88"/>
      <c r="J127" s="88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>
        <f t="shared" si="9"/>
        <v>0</v>
      </c>
      <c r="Z127" s="32"/>
      <c r="AA127" s="33"/>
      <c r="AB127" s="41"/>
      <c r="AC127" s="89"/>
      <c r="AD127" s="32"/>
      <c r="AE127" s="35"/>
      <c r="AF127" s="36"/>
      <c r="AG127" s="89"/>
      <c r="AH127" s="32"/>
      <c r="AI127" s="33"/>
      <c r="AJ127" s="36"/>
      <c r="AK127" s="89"/>
      <c r="AL127" s="32"/>
      <c r="AM127" s="33"/>
      <c r="AN127" s="36"/>
      <c r="AO127" s="89"/>
      <c r="AP127" s="32"/>
      <c r="AQ127" s="33"/>
      <c r="AR127" s="36"/>
      <c r="AS127" s="89"/>
      <c r="AT127" s="37">
        <f t="shared" si="10"/>
        <v>0</v>
      </c>
      <c r="AU127" s="38">
        <f t="shared" si="11"/>
        <v>0</v>
      </c>
    </row>
    <row r="128" spans="2:47" s="26" customFormat="1" x14ac:dyDescent="0.25">
      <c r="B128" s="27">
        <v>113</v>
      </c>
      <c r="C128" s="27"/>
      <c r="D128" s="28"/>
      <c r="E128" s="29"/>
      <c r="F128" s="29"/>
      <c r="G128" s="30"/>
      <c r="H128" s="42"/>
      <c r="I128" s="88"/>
      <c r="J128" s="88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>
        <f t="shared" si="9"/>
        <v>0</v>
      </c>
      <c r="Z128" s="32"/>
      <c r="AA128" s="33"/>
      <c r="AB128" s="41"/>
      <c r="AC128" s="89"/>
      <c r="AD128" s="32"/>
      <c r="AE128" s="35"/>
      <c r="AF128" s="36"/>
      <c r="AG128" s="89"/>
      <c r="AH128" s="32"/>
      <c r="AI128" s="33"/>
      <c r="AJ128" s="36"/>
      <c r="AK128" s="89"/>
      <c r="AL128" s="32"/>
      <c r="AM128" s="33"/>
      <c r="AN128" s="36"/>
      <c r="AO128" s="89"/>
      <c r="AP128" s="32"/>
      <c r="AQ128" s="33"/>
      <c r="AR128" s="36"/>
      <c r="AS128" s="89"/>
      <c r="AT128" s="37">
        <f t="shared" si="10"/>
        <v>0</v>
      </c>
      <c r="AU128" s="38">
        <f t="shared" si="11"/>
        <v>0</v>
      </c>
    </row>
    <row r="129" spans="2:47" s="26" customFormat="1" x14ac:dyDescent="0.25">
      <c r="B129" s="27">
        <v>114</v>
      </c>
      <c r="C129" s="27"/>
      <c r="D129" s="28"/>
      <c r="E129" s="29"/>
      <c r="F129" s="29"/>
      <c r="G129" s="30"/>
      <c r="H129" s="42"/>
      <c r="I129" s="43"/>
      <c r="J129" s="43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>
        <f t="shared" si="9"/>
        <v>0</v>
      </c>
      <c r="Z129" s="32"/>
      <c r="AA129" s="33"/>
      <c r="AB129" s="41"/>
      <c r="AC129" s="89"/>
      <c r="AD129" s="32"/>
      <c r="AE129" s="35"/>
      <c r="AF129" s="36"/>
      <c r="AG129" s="89"/>
      <c r="AH129" s="32"/>
      <c r="AI129" s="33"/>
      <c r="AJ129" s="36"/>
      <c r="AK129" s="89"/>
      <c r="AL129" s="32"/>
      <c r="AM129" s="33"/>
      <c r="AN129" s="36"/>
      <c r="AO129" s="89"/>
      <c r="AP129" s="32"/>
      <c r="AQ129" s="33"/>
      <c r="AR129" s="36"/>
      <c r="AS129" s="89"/>
      <c r="AT129" s="37">
        <f t="shared" si="10"/>
        <v>0</v>
      </c>
      <c r="AU129" s="38">
        <f t="shared" si="11"/>
        <v>0</v>
      </c>
    </row>
    <row r="130" spans="2:47" ht="15" customHeight="1" x14ac:dyDescent="0.25">
      <c r="B130" s="534" t="s">
        <v>40</v>
      </c>
      <c r="C130" s="535"/>
      <c r="D130" s="535"/>
      <c r="E130" s="535"/>
      <c r="F130" s="535"/>
      <c r="G130" s="535"/>
      <c r="H130" s="535"/>
      <c r="I130" s="536"/>
      <c r="J130" s="101"/>
      <c r="K130" s="48">
        <f t="shared" ref="K130:Y130" si="12">SUBTOTAL(9,K16:K127)</f>
        <v>41716632</v>
      </c>
      <c r="L130" s="48">
        <f t="shared" si="12"/>
        <v>29406533</v>
      </c>
      <c r="M130" s="48">
        <f t="shared" si="12"/>
        <v>646806</v>
      </c>
      <c r="N130" s="48">
        <f t="shared" si="12"/>
        <v>1105875</v>
      </c>
      <c r="O130" s="48">
        <f t="shared" si="12"/>
        <v>2105181</v>
      </c>
      <c r="P130" s="48">
        <f t="shared" si="12"/>
        <v>0</v>
      </c>
      <c r="Q130" s="48">
        <f t="shared" si="12"/>
        <v>0</v>
      </c>
      <c r="R130" s="48">
        <f t="shared" si="12"/>
        <v>0</v>
      </c>
      <c r="S130" s="48">
        <f t="shared" si="12"/>
        <v>0</v>
      </c>
      <c r="T130" s="48">
        <f t="shared" si="12"/>
        <v>0</v>
      </c>
      <c r="U130" s="48">
        <f t="shared" si="12"/>
        <v>0</v>
      </c>
      <c r="V130" s="48">
        <f t="shared" si="12"/>
        <v>0</v>
      </c>
      <c r="W130" s="48">
        <f t="shared" si="12"/>
        <v>0</v>
      </c>
      <c r="X130" s="48">
        <f t="shared" si="12"/>
        <v>0</v>
      </c>
      <c r="Y130" s="48">
        <f t="shared" si="12"/>
        <v>3857862</v>
      </c>
      <c r="Z130" s="48">
        <f>SUBTOTAL(9,Z16:Z129)</f>
        <v>20004471</v>
      </c>
      <c r="AA130" s="48"/>
      <c r="AB130" s="48"/>
      <c r="AC130" s="48"/>
      <c r="AD130" s="48">
        <f>SUBTOTAL(9,AD16:AD127)</f>
        <v>685125</v>
      </c>
      <c r="AE130" s="48"/>
      <c r="AF130" s="48"/>
      <c r="AG130" s="48"/>
      <c r="AH130" s="48">
        <f>SUBTOTAL(9,AH16:AH127)</f>
        <v>-180962</v>
      </c>
      <c r="AI130" s="48"/>
      <c r="AJ130" s="48"/>
      <c r="AK130" s="48"/>
      <c r="AL130" s="48">
        <f>SUBTOTAL(9,AL16:AL127)</f>
        <v>0</v>
      </c>
      <c r="AM130" s="48"/>
      <c r="AN130" s="48"/>
      <c r="AO130" s="48"/>
      <c r="AP130" s="48">
        <f>SUBTOTAL(9,AP16:AP127)</f>
        <v>0</v>
      </c>
      <c r="AQ130" s="48"/>
      <c r="AR130" s="48"/>
      <c r="AS130" s="48"/>
      <c r="AT130" s="48">
        <f>SUBTOTAL(9,AT16:AT127)</f>
        <v>20508634</v>
      </c>
      <c r="AU130" s="48">
        <f>SUBTOTAL(9,AU16:AU127)</f>
        <v>16650772</v>
      </c>
    </row>
    <row r="131" spans="2:47" ht="20.25" customHeight="1" x14ac:dyDescent="0.2">
      <c r="B131" s="537"/>
      <c r="C131" s="537"/>
      <c r="D131" s="537"/>
      <c r="E131" s="537"/>
      <c r="F131" s="44"/>
      <c r="G131" s="16"/>
      <c r="H131" s="16"/>
    </row>
    <row r="132" spans="2:47" x14ac:dyDescent="0.2">
      <c r="B132" s="538"/>
      <c r="C132" s="538"/>
      <c r="D132" s="538"/>
      <c r="E132" s="538"/>
      <c r="F132" s="538"/>
      <c r="G132" s="538"/>
      <c r="H132" s="538"/>
      <c r="I132" s="538"/>
      <c r="J132" s="538"/>
      <c r="K132" s="538"/>
      <c r="L132" s="538"/>
      <c r="M132" s="538"/>
      <c r="N132" s="538"/>
      <c r="O132" s="538"/>
      <c r="P132" s="538"/>
      <c r="Q132" s="538"/>
      <c r="R132" s="538"/>
      <c r="S132" s="538"/>
      <c r="T132" s="538"/>
      <c r="U132" s="538"/>
      <c r="V132" s="538"/>
      <c r="W132" s="538"/>
      <c r="X132" s="538"/>
      <c r="Y132" s="538"/>
      <c r="Z132" s="538"/>
      <c r="AA132" s="538"/>
      <c r="AB132" s="538"/>
      <c r="AC132" s="538"/>
      <c r="AD132" s="45"/>
      <c r="AE132" s="46"/>
      <c r="AF132" s="45"/>
      <c r="AG132" s="45"/>
      <c r="AH132" s="45"/>
      <c r="AI132" s="47"/>
      <c r="AJ132" s="45"/>
      <c r="AK132" s="45"/>
      <c r="AL132" s="45"/>
      <c r="AM132" s="47"/>
      <c r="AN132" s="45"/>
      <c r="AO132" s="45"/>
      <c r="AP132" s="45"/>
      <c r="AQ132" s="47"/>
      <c r="AR132" s="45"/>
      <c r="AS132" s="45"/>
      <c r="AT132" s="8"/>
    </row>
    <row r="133" spans="2:47" x14ac:dyDescent="0.2">
      <c r="AT133" s="8"/>
    </row>
    <row r="135" spans="2:47" x14ac:dyDescent="0.2">
      <c r="Z135" s="8"/>
    </row>
  </sheetData>
  <autoFilter ref="B15:AU129"/>
  <mergeCells count="16">
    <mergeCell ref="B8:AC8"/>
    <mergeCell ref="B1:AC2"/>
    <mergeCell ref="B3:AC4"/>
    <mergeCell ref="B5:AC5"/>
    <mergeCell ref="B6:AC6"/>
    <mergeCell ref="B7:AC7"/>
    <mergeCell ref="AT14:AU14"/>
    <mergeCell ref="B130:I130"/>
    <mergeCell ref="B131:E131"/>
    <mergeCell ref="B132:AC132"/>
    <mergeCell ref="B9:AC10"/>
    <mergeCell ref="Z14:AC14"/>
    <mergeCell ref="AD14:AG14"/>
    <mergeCell ref="AH14:AK14"/>
    <mergeCell ref="AL14:AO14"/>
    <mergeCell ref="AP14:AS14"/>
  </mergeCells>
  <conditionalFormatting sqref="D16:D37">
    <cfRule type="duplicateValues" dxfId="9" priority="1"/>
  </conditionalFormatting>
  <conditionalFormatting sqref="D16:D37">
    <cfRule type="duplicateValues" dxfId="8" priority="2"/>
  </conditionalFormatting>
  <conditionalFormatting sqref="D129">
    <cfRule type="duplicateValues" dxfId="7" priority="3"/>
  </conditionalFormatting>
  <conditionalFormatting sqref="D38:D128">
    <cfRule type="duplicateValues" dxfId="6" priority="4"/>
  </conditionalFormatting>
  <pageMargins left="0.7" right="0.7" top="0.75" bottom="0.75" header="0.3" footer="0.3"/>
  <pageSetup scale="3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A1:GT78"/>
  <sheetViews>
    <sheetView topLeftCell="A9" zoomScaleNormal="100" workbookViewId="0">
      <pane ySplit="7" topLeftCell="A16" activePane="bottomLeft" state="frozen"/>
      <selection activeCell="A9" sqref="A9"/>
      <selection pane="bottomLeft" activeCell="E18" sqref="E18"/>
    </sheetView>
  </sheetViews>
  <sheetFormatPr baseColWidth="10" defaultRowHeight="15" x14ac:dyDescent="0.25"/>
  <cols>
    <col min="1" max="1" width="3.7109375" style="166" customWidth="1"/>
    <col min="2" max="2" width="11.42578125" style="166" customWidth="1"/>
    <col min="3" max="3" width="11.5703125" style="167" customWidth="1"/>
    <col min="4" max="4" width="12.85546875" style="168" customWidth="1"/>
    <col min="5" max="5" width="68.7109375" style="169" customWidth="1"/>
    <col min="6" max="6" width="19.140625" style="166" customWidth="1"/>
    <col min="7" max="7" width="17.85546875" style="169" customWidth="1"/>
    <col min="8" max="9" width="11.42578125" style="167"/>
    <col min="10" max="10" width="15.140625" style="167" customWidth="1"/>
    <col min="11" max="11" width="14.140625" style="167" bestFit="1" customWidth="1"/>
    <col min="12" max="12" width="13.140625" style="167" bestFit="1" customWidth="1"/>
    <col min="13" max="14" width="11.7109375" style="166" bestFit="1" customWidth="1"/>
    <col min="15" max="15" width="13.28515625" style="166" bestFit="1" customWidth="1"/>
    <col min="16" max="24" width="11.5703125" style="166" bestFit="1" customWidth="1"/>
    <col min="25" max="25" width="11.7109375" style="166" bestFit="1" customWidth="1"/>
    <col min="26" max="26" width="13.140625" style="166" bestFit="1" customWidth="1"/>
    <col min="27" max="27" width="11.5703125" style="167" bestFit="1" customWidth="1"/>
    <col min="28" max="30" width="11.5703125" style="166" bestFit="1" customWidth="1"/>
    <col min="31" max="31" width="11.5703125" style="167" bestFit="1" customWidth="1"/>
    <col min="32" max="34" width="11.5703125" style="166" bestFit="1" customWidth="1"/>
    <col min="35" max="35" width="11.5703125" style="167" bestFit="1" customWidth="1"/>
    <col min="36" max="38" width="11.5703125" style="166" bestFit="1" customWidth="1"/>
    <col min="39" max="39" width="11.42578125" style="167"/>
    <col min="40" max="41" width="11.42578125" style="166"/>
    <col min="42" max="42" width="11.5703125" style="166" bestFit="1" customWidth="1"/>
    <col min="43" max="43" width="11.42578125" style="167"/>
    <col min="44" max="45" width="11.42578125" style="166"/>
    <col min="46" max="47" width="11.5703125" style="166" bestFit="1" customWidth="1"/>
    <col min="48" max="16384" width="11.42578125" style="166"/>
  </cols>
  <sheetData>
    <row r="1" spans="1:202" hidden="1" x14ac:dyDescent="0.25"/>
    <row r="2" spans="1:202" hidden="1" x14ac:dyDescent="0.25"/>
    <row r="3" spans="1:202" hidden="1" x14ac:dyDescent="0.25"/>
    <row r="4" spans="1:202" hidden="1" x14ac:dyDescent="0.25"/>
    <row r="5" spans="1:202" hidden="1" x14ac:dyDescent="0.25"/>
    <row r="6" spans="1:202" hidden="1" x14ac:dyDescent="0.25"/>
    <row r="7" spans="1:202" hidden="1" x14ac:dyDescent="0.25"/>
    <row r="8" spans="1:202" hidden="1" x14ac:dyDescent="0.25"/>
    <row r="9" spans="1:202" s="4" customFormat="1" ht="18.75" customHeight="1" x14ac:dyDescent="0.35">
      <c r="B9" s="563" t="s">
        <v>727</v>
      </c>
      <c r="C9" s="563"/>
      <c r="D9" s="563"/>
      <c r="E9" s="563"/>
      <c r="F9" s="563"/>
      <c r="G9" s="563"/>
      <c r="H9" s="563"/>
      <c r="I9" s="563"/>
      <c r="J9" s="563"/>
      <c r="K9" s="563"/>
      <c r="L9" s="563"/>
      <c r="M9" s="563"/>
      <c r="N9" s="563"/>
      <c r="O9" s="563"/>
      <c r="P9" s="563"/>
      <c r="Q9" s="563"/>
      <c r="R9" s="563"/>
      <c r="S9" s="563"/>
      <c r="T9" s="563"/>
      <c r="U9" s="563"/>
      <c r="V9" s="563"/>
      <c r="W9" s="563"/>
      <c r="X9" s="563"/>
      <c r="Y9" s="563"/>
      <c r="Z9" s="563"/>
      <c r="AA9" s="563"/>
      <c r="AB9" s="563"/>
      <c r="AC9" s="563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</row>
    <row r="10" spans="1:202" x14ac:dyDescent="0.25">
      <c r="B10" s="563"/>
      <c r="C10" s="563"/>
      <c r="D10" s="563"/>
      <c r="E10" s="563"/>
      <c r="F10" s="563"/>
      <c r="G10" s="563"/>
      <c r="H10" s="563"/>
      <c r="I10" s="563"/>
      <c r="J10" s="563"/>
      <c r="K10" s="563"/>
      <c r="L10" s="563"/>
      <c r="M10" s="563"/>
      <c r="N10" s="563"/>
      <c r="O10" s="563"/>
      <c r="P10" s="563"/>
      <c r="Q10" s="563"/>
      <c r="R10" s="563"/>
      <c r="S10" s="563"/>
      <c r="T10" s="563"/>
      <c r="U10" s="563"/>
      <c r="V10" s="563"/>
      <c r="W10" s="563"/>
      <c r="X10" s="563"/>
      <c r="Y10" s="563"/>
      <c r="Z10" s="563"/>
      <c r="AA10" s="563"/>
      <c r="AB10" s="563"/>
      <c r="AC10" s="563"/>
    </row>
    <row r="12" spans="1:202" s="4" customFormat="1" ht="33" customHeight="1" x14ac:dyDescent="0.2">
      <c r="A12" s="139"/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39"/>
      <c r="AE12" s="171"/>
      <c r="AF12" s="139"/>
      <c r="AG12" s="139"/>
      <c r="AH12" s="139"/>
      <c r="AI12" s="172"/>
      <c r="AJ12" s="139"/>
      <c r="AK12" s="139"/>
      <c r="AL12" s="139"/>
      <c r="AM12" s="172"/>
      <c r="AN12" s="139"/>
      <c r="AO12" s="139"/>
      <c r="AP12" s="139"/>
      <c r="AQ12" s="172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39"/>
      <c r="CO12" s="139"/>
      <c r="CP12" s="139"/>
      <c r="CQ12" s="139"/>
      <c r="CR12" s="139"/>
      <c r="CS12" s="139"/>
      <c r="CT12" s="139"/>
      <c r="CU12" s="139"/>
      <c r="CV12" s="139"/>
      <c r="CW12" s="139"/>
      <c r="CX12" s="139"/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39"/>
      <c r="DL12" s="139"/>
      <c r="DM12" s="139"/>
      <c r="DN12" s="139"/>
      <c r="DO12" s="139"/>
      <c r="DP12" s="139"/>
      <c r="DQ12" s="139"/>
      <c r="DR12" s="139"/>
      <c r="DS12" s="139"/>
      <c r="DT12" s="139"/>
      <c r="DU12" s="139"/>
      <c r="DV12" s="139"/>
      <c r="DW12" s="139"/>
      <c r="DX12" s="139"/>
      <c r="DY12" s="139"/>
      <c r="DZ12" s="139"/>
      <c r="EA12" s="139"/>
      <c r="EB12" s="139"/>
      <c r="EC12" s="139"/>
      <c r="ED12" s="139"/>
      <c r="EE12" s="139"/>
      <c r="EF12" s="139"/>
      <c r="EG12" s="139"/>
      <c r="EH12" s="139"/>
      <c r="EI12" s="139"/>
      <c r="EJ12" s="139"/>
      <c r="EK12" s="139"/>
      <c r="EL12" s="139"/>
      <c r="EM12" s="139"/>
      <c r="EN12" s="139"/>
      <c r="EO12" s="139"/>
      <c r="EP12" s="139"/>
      <c r="EQ12" s="139"/>
      <c r="ER12" s="139"/>
      <c r="ES12" s="139"/>
      <c r="ET12" s="139"/>
      <c r="EU12" s="139"/>
      <c r="EV12" s="139"/>
      <c r="EW12" s="139"/>
      <c r="EX12" s="139"/>
      <c r="EY12" s="139"/>
      <c r="EZ12" s="139"/>
      <c r="FA12" s="139"/>
      <c r="FB12" s="139"/>
      <c r="FC12" s="139"/>
      <c r="FD12" s="139"/>
      <c r="FE12" s="139"/>
      <c r="FF12" s="139"/>
      <c r="FG12" s="139"/>
      <c r="FH12" s="139"/>
      <c r="FI12" s="139"/>
      <c r="FJ12" s="139"/>
      <c r="FK12" s="139"/>
      <c r="FL12" s="139"/>
      <c r="FM12" s="139"/>
      <c r="FN12" s="139"/>
      <c r="FO12" s="139"/>
      <c r="FP12" s="139"/>
      <c r="FQ12" s="139"/>
      <c r="FR12" s="139"/>
      <c r="FS12" s="139"/>
      <c r="FT12" s="139"/>
      <c r="FU12" s="139"/>
      <c r="FV12" s="139"/>
      <c r="FW12" s="139"/>
      <c r="FX12" s="139"/>
      <c r="FY12" s="139"/>
      <c r="FZ12" s="139"/>
      <c r="GA12" s="139"/>
      <c r="GB12" s="139"/>
      <c r="GC12" s="139"/>
      <c r="GD12" s="139"/>
      <c r="GE12" s="139"/>
      <c r="GF12" s="139"/>
      <c r="GG12" s="139"/>
      <c r="GH12" s="139"/>
      <c r="GI12" s="139"/>
      <c r="GJ12" s="139"/>
      <c r="GK12" s="139"/>
      <c r="GL12" s="139"/>
      <c r="GM12" s="139"/>
      <c r="GN12" s="139"/>
      <c r="GO12" s="139"/>
      <c r="GP12" s="139"/>
      <c r="GQ12" s="139"/>
      <c r="GR12" s="139"/>
      <c r="GS12" s="139"/>
      <c r="GT12" s="139"/>
    </row>
    <row r="13" spans="1:202" s="4" customFormat="1" ht="18.75" x14ac:dyDescent="0.2">
      <c r="A13" s="139"/>
      <c r="B13" s="15">
        <v>30792063</v>
      </c>
      <c r="C13" s="15">
        <v>30792063</v>
      </c>
      <c r="D13" s="15">
        <v>30792063</v>
      </c>
      <c r="E13" s="15">
        <v>1491715.9909999999</v>
      </c>
      <c r="F13" s="173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39"/>
      <c r="AE13" s="171"/>
      <c r="AF13" s="139"/>
      <c r="AG13" s="139"/>
      <c r="AH13" s="139"/>
      <c r="AI13" s="172"/>
      <c r="AJ13" s="139"/>
      <c r="AK13" s="139"/>
      <c r="AL13" s="139"/>
      <c r="AM13" s="172"/>
      <c r="AN13" s="139"/>
      <c r="AO13" s="139"/>
      <c r="AP13" s="139"/>
      <c r="AQ13" s="172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9"/>
      <c r="CN13" s="139"/>
      <c r="CO13" s="139"/>
      <c r="CP13" s="139"/>
      <c r="CQ13" s="139"/>
      <c r="CR13" s="139"/>
      <c r="CS13" s="139"/>
      <c r="CT13" s="139"/>
      <c r="CU13" s="139"/>
      <c r="CV13" s="139"/>
      <c r="CW13" s="139"/>
      <c r="CX13" s="139"/>
      <c r="CY13" s="139"/>
      <c r="CZ13" s="139"/>
      <c r="DA13" s="139"/>
      <c r="DB13" s="139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139"/>
      <c r="DV13" s="139"/>
      <c r="DW13" s="139"/>
      <c r="DX13" s="139"/>
      <c r="DY13" s="139"/>
      <c r="DZ13" s="139"/>
      <c r="EA13" s="139"/>
      <c r="EB13" s="139"/>
      <c r="EC13" s="139"/>
      <c r="ED13" s="139"/>
      <c r="EE13" s="139"/>
      <c r="EF13" s="139"/>
      <c r="EG13" s="139"/>
      <c r="EH13" s="139"/>
      <c r="EI13" s="139"/>
      <c r="EJ13" s="139"/>
      <c r="EK13" s="139"/>
      <c r="EL13" s="139"/>
      <c r="EM13" s="139"/>
      <c r="EN13" s="139"/>
      <c r="EO13" s="139"/>
      <c r="EP13" s="139"/>
      <c r="EQ13" s="139"/>
      <c r="ER13" s="139"/>
      <c r="ES13" s="139"/>
      <c r="ET13" s="139"/>
      <c r="EU13" s="139"/>
      <c r="EV13" s="139"/>
      <c r="EW13" s="139"/>
      <c r="EX13" s="139"/>
      <c r="EY13" s="139"/>
      <c r="EZ13" s="139"/>
      <c r="FA13" s="139"/>
      <c r="FB13" s="139"/>
      <c r="FC13" s="139"/>
      <c r="FD13" s="139"/>
      <c r="FE13" s="139"/>
      <c r="FF13" s="139"/>
      <c r="FG13" s="139"/>
      <c r="FH13" s="139"/>
      <c r="FI13" s="139"/>
      <c r="FJ13" s="139"/>
      <c r="FK13" s="139"/>
      <c r="FL13" s="139"/>
      <c r="FM13" s="139"/>
      <c r="FN13" s="139"/>
      <c r="FO13" s="139"/>
      <c r="FP13" s="139"/>
      <c r="FQ13" s="139"/>
      <c r="FR13" s="139"/>
      <c r="FS13" s="139"/>
      <c r="FT13" s="139"/>
      <c r="FU13" s="139"/>
      <c r="FV13" s="139"/>
      <c r="FW13" s="139"/>
      <c r="FX13" s="139"/>
      <c r="FY13" s="139"/>
      <c r="FZ13" s="139"/>
      <c r="GA13" s="139"/>
      <c r="GB13" s="139"/>
      <c r="GC13" s="139"/>
      <c r="GD13" s="139"/>
      <c r="GE13" s="139"/>
      <c r="GF13" s="139"/>
      <c r="GG13" s="139"/>
      <c r="GH13" s="139"/>
      <c r="GI13" s="139"/>
      <c r="GJ13" s="139"/>
      <c r="GK13" s="139"/>
      <c r="GL13" s="139"/>
      <c r="GM13" s="139"/>
      <c r="GN13" s="139"/>
      <c r="GO13" s="139"/>
      <c r="GP13" s="139"/>
      <c r="GQ13" s="139"/>
      <c r="GR13" s="139"/>
      <c r="GS13" s="139"/>
      <c r="GT13" s="139"/>
    </row>
    <row r="14" spans="1:202" s="139" customFormat="1" ht="15" customHeight="1" x14ac:dyDescent="0.2">
      <c r="B14" s="174"/>
      <c r="C14" s="175"/>
      <c r="D14" s="176"/>
      <c r="E14" s="175"/>
      <c r="F14" s="175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59" t="s">
        <v>7</v>
      </c>
      <c r="AU14" s="559"/>
    </row>
    <row r="15" spans="1:202" s="26" customFormat="1" ht="55.5" customHeight="1" x14ac:dyDescent="0.25">
      <c r="A15" s="140"/>
      <c r="B15" s="19" t="s">
        <v>8</v>
      </c>
      <c r="C15" s="19" t="s">
        <v>9</v>
      </c>
      <c r="D15" s="19" t="s">
        <v>10</v>
      </c>
      <c r="E15" s="2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22" t="s">
        <v>32</v>
      </c>
      <c r="AA15" s="23" t="s">
        <v>33</v>
      </c>
      <c r="AB15" s="22" t="s">
        <v>34</v>
      </c>
      <c r="AC15" s="22" t="s">
        <v>35</v>
      </c>
      <c r="AD15" s="24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  <c r="CV15" s="140"/>
      <c r="CW15" s="140"/>
      <c r="CX15" s="140"/>
      <c r="CY15" s="140"/>
      <c r="CZ15" s="140"/>
      <c r="DA15" s="140"/>
      <c r="DB15" s="140"/>
      <c r="DC15" s="140"/>
      <c r="DD15" s="140"/>
      <c r="DE15" s="140"/>
      <c r="DF15" s="140"/>
      <c r="DG15" s="140"/>
      <c r="DH15" s="140"/>
      <c r="DI15" s="140"/>
      <c r="DJ15" s="140"/>
      <c r="DK15" s="140"/>
      <c r="DL15" s="140"/>
      <c r="DM15" s="140"/>
      <c r="DN15" s="140"/>
      <c r="DO15" s="140"/>
      <c r="DP15" s="140"/>
      <c r="DQ15" s="140"/>
      <c r="DR15" s="140"/>
      <c r="DS15" s="140"/>
      <c r="DT15" s="140"/>
      <c r="DU15" s="140"/>
      <c r="DV15" s="140"/>
      <c r="DW15" s="140"/>
      <c r="DX15" s="140"/>
      <c r="DY15" s="140"/>
      <c r="DZ15" s="140"/>
      <c r="EA15" s="140"/>
      <c r="EB15" s="140"/>
      <c r="EC15" s="140"/>
      <c r="ED15" s="140"/>
      <c r="EE15" s="140"/>
      <c r="EF15" s="140"/>
      <c r="EG15" s="140"/>
      <c r="EH15" s="140"/>
      <c r="EI15" s="140"/>
      <c r="EJ15" s="140"/>
      <c r="EK15" s="140"/>
      <c r="EL15" s="140"/>
      <c r="EM15" s="140"/>
      <c r="EN15" s="140"/>
      <c r="EO15" s="140"/>
      <c r="EP15" s="140"/>
      <c r="EQ15" s="140"/>
      <c r="ER15" s="140"/>
      <c r="ES15" s="140"/>
      <c r="ET15" s="140"/>
      <c r="EU15" s="140"/>
      <c r="EV15" s="140"/>
      <c r="EW15" s="140"/>
      <c r="EX15" s="140"/>
      <c r="EY15" s="140"/>
      <c r="EZ15" s="140"/>
      <c r="FA15" s="140"/>
      <c r="FB15" s="140"/>
      <c r="FC15" s="140"/>
      <c r="FD15" s="140"/>
      <c r="FE15" s="140"/>
      <c r="FF15" s="140"/>
      <c r="FG15" s="140"/>
      <c r="FH15" s="140"/>
      <c r="FI15" s="140"/>
      <c r="FJ15" s="140"/>
      <c r="FK15" s="140"/>
      <c r="FL15" s="140"/>
      <c r="FM15" s="140"/>
      <c r="FN15" s="140"/>
      <c r="FO15" s="140"/>
      <c r="FP15" s="140"/>
      <c r="FQ15" s="140"/>
      <c r="FR15" s="140"/>
      <c r="FS15" s="140"/>
      <c r="FT15" s="140"/>
      <c r="FU15" s="140"/>
      <c r="FV15" s="140"/>
      <c r="FW15" s="140"/>
      <c r="FX15" s="140"/>
      <c r="FY15" s="140"/>
      <c r="FZ15" s="140"/>
      <c r="GA15" s="140"/>
      <c r="GB15" s="140"/>
      <c r="GC15" s="140"/>
      <c r="GD15" s="140"/>
      <c r="GE15" s="140"/>
      <c r="GF15" s="140"/>
      <c r="GG15" s="140"/>
      <c r="GH15" s="140"/>
      <c r="GI15" s="140"/>
      <c r="GJ15" s="140"/>
      <c r="GK15" s="140"/>
      <c r="GL15" s="140"/>
      <c r="GM15" s="140"/>
      <c r="GN15" s="140"/>
      <c r="GO15" s="140"/>
      <c r="GP15" s="140"/>
      <c r="GQ15" s="140"/>
      <c r="GR15" s="140"/>
      <c r="GS15" s="140"/>
      <c r="GT15" s="140"/>
    </row>
    <row r="16" spans="1:202" x14ac:dyDescent="0.25">
      <c r="B16" s="414">
        <v>1</v>
      </c>
      <c r="C16" s="414" t="s">
        <v>39</v>
      </c>
      <c r="D16" s="415">
        <v>30003322</v>
      </c>
      <c r="E16" s="416" t="s">
        <v>728</v>
      </c>
      <c r="F16" s="417" t="s">
        <v>729</v>
      </c>
      <c r="G16" s="416" t="s">
        <v>730</v>
      </c>
      <c r="H16" s="414" t="s">
        <v>731</v>
      </c>
      <c r="I16" s="414" t="s">
        <v>57</v>
      </c>
      <c r="J16" s="418">
        <v>5743398</v>
      </c>
      <c r="K16" s="418">
        <v>2414298</v>
      </c>
      <c r="L16" s="418">
        <v>3329099</v>
      </c>
      <c r="M16" s="419">
        <v>0</v>
      </c>
      <c r="N16" s="419">
        <v>0</v>
      </c>
      <c r="O16" s="419">
        <v>0</v>
      </c>
      <c r="P16" s="419"/>
      <c r="Q16" s="419"/>
      <c r="R16" s="419"/>
      <c r="S16" s="419"/>
      <c r="T16" s="419"/>
      <c r="U16" s="419"/>
      <c r="V16" s="419"/>
      <c r="W16" s="419"/>
      <c r="X16" s="419"/>
      <c r="Y16" s="419">
        <f>SUM(M16:X16)</f>
        <v>0</v>
      </c>
      <c r="Z16" s="419">
        <v>1</v>
      </c>
      <c r="AA16" s="415">
        <v>11</v>
      </c>
      <c r="AB16" s="420">
        <v>44245</v>
      </c>
      <c r="AC16" s="420">
        <v>44258</v>
      </c>
      <c r="AD16" s="421"/>
      <c r="AE16" s="415"/>
      <c r="AF16" s="420"/>
      <c r="AG16" s="420"/>
      <c r="AH16" s="421"/>
      <c r="AI16" s="415"/>
      <c r="AJ16" s="420"/>
      <c r="AK16" s="420"/>
      <c r="AL16" s="421"/>
      <c r="AM16" s="415"/>
      <c r="AN16" s="420"/>
      <c r="AO16" s="420"/>
      <c r="AP16" s="421"/>
      <c r="AQ16" s="415"/>
      <c r="AR16" s="420"/>
      <c r="AS16" s="420"/>
      <c r="AT16" s="177">
        <f t="shared" ref="AT16:AT70" si="0">+Z16+AD16+AH16+AL16+AP16</f>
        <v>1</v>
      </c>
      <c r="AU16" s="178">
        <f t="shared" ref="AU16:AU70" si="1">+AT16-Y16</f>
        <v>1</v>
      </c>
    </row>
    <row r="17" spans="2:47" x14ac:dyDescent="0.25">
      <c r="B17" s="414">
        <v>2</v>
      </c>
      <c r="C17" s="414" t="s">
        <v>39</v>
      </c>
      <c r="D17" s="415">
        <v>30079146</v>
      </c>
      <c r="E17" s="416" t="s">
        <v>732</v>
      </c>
      <c r="F17" s="417" t="s">
        <v>729</v>
      </c>
      <c r="G17" s="416" t="s">
        <v>730</v>
      </c>
      <c r="H17" s="414" t="s">
        <v>731</v>
      </c>
      <c r="I17" s="414" t="s">
        <v>57</v>
      </c>
      <c r="J17" s="418">
        <v>7566188</v>
      </c>
      <c r="K17" s="418">
        <v>6808972</v>
      </c>
      <c r="L17" s="418">
        <v>0</v>
      </c>
      <c r="M17" s="419">
        <v>0</v>
      </c>
      <c r="N17" s="419">
        <v>0</v>
      </c>
      <c r="O17" s="419">
        <v>2578.73</v>
      </c>
      <c r="P17" s="419"/>
      <c r="Q17" s="419"/>
      <c r="R17" s="419"/>
      <c r="S17" s="419"/>
      <c r="T17" s="419"/>
      <c r="U17" s="419"/>
      <c r="V17" s="419"/>
      <c r="W17" s="419"/>
      <c r="X17" s="419"/>
      <c r="Y17" s="419">
        <f>SUM(M17:X17)</f>
        <v>2578.73</v>
      </c>
      <c r="Z17" s="419">
        <v>221392</v>
      </c>
      <c r="AA17" s="415">
        <v>12</v>
      </c>
      <c r="AB17" s="420">
        <v>44245</v>
      </c>
      <c r="AC17" s="420">
        <v>44266</v>
      </c>
      <c r="AD17" s="421"/>
      <c r="AE17" s="415"/>
      <c r="AF17" s="420"/>
      <c r="AG17" s="420"/>
      <c r="AH17" s="421"/>
      <c r="AI17" s="415"/>
      <c r="AJ17" s="420"/>
      <c r="AK17" s="420"/>
      <c r="AL17" s="421"/>
      <c r="AM17" s="415"/>
      <c r="AN17" s="420"/>
      <c r="AO17" s="420"/>
      <c r="AP17" s="421"/>
      <c r="AQ17" s="415"/>
      <c r="AR17" s="420"/>
      <c r="AS17" s="420"/>
      <c r="AT17" s="177">
        <f t="shared" si="0"/>
        <v>221392</v>
      </c>
      <c r="AU17" s="178">
        <f t="shared" si="1"/>
        <v>218813.27</v>
      </c>
    </row>
    <row r="18" spans="2:47" x14ac:dyDescent="0.25">
      <c r="B18" s="414">
        <v>3</v>
      </c>
      <c r="C18" s="414" t="s">
        <v>39</v>
      </c>
      <c r="D18" s="415">
        <v>30080082</v>
      </c>
      <c r="E18" s="416" t="s">
        <v>733</v>
      </c>
      <c r="F18" s="417" t="s">
        <v>60</v>
      </c>
      <c r="G18" s="416" t="s">
        <v>730</v>
      </c>
      <c r="H18" s="414" t="s">
        <v>731</v>
      </c>
      <c r="I18" s="414" t="s">
        <v>57</v>
      </c>
      <c r="J18" s="418">
        <v>264481</v>
      </c>
      <c r="K18" s="418">
        <v>223376</v>
      </c>
      <c r="L18" s="418">
        <v>0</v>
      </c>
      <c r="M18" s="419">
        <v>0</v>
      </c>
      <c r="N18" s="419">
        <v>0</v>
      </c>
      <c r="O18" s="419">
        <v>0</v>
      </c>
      <c r="P18" s="419"/>
      <c r="Q18" s="419"/>
      <c r="R18" s="419"/>
      <c r="S18" s="419"/>
      <c r="T18" s="419"/>
      <c r="U18" s="419"/>
      <c r="V18" s="419"/>
      <c r="W18" s="419"/>
      <c r="X18" s="419"/>
      <c r="Y18" s="419">
        <f t="shared" ref="Y18:Y70" si="2">SUM(M18:X18)</f>
        <v>0</v>
      </c>
      <c r="Z18" s="419">
        <v>30131</v>
      </c>
      <c r="AA18" s="415">
        <v>12</v>
      </c>
      <c r="AB18" s="420">
        <v>44245</v>
      </c>
      <c r="AC18" s="420">
        <v>44266</v>
      </c>
      <c r="AD18" s="421"/>
      <c r="AE18" s="415"/>
      <c r="AF18" s="420"/>
      <c r="AG18" s="420"/>
      <c r="AH18" s="421"/>
      <c r="AI18" s="415"/>
      <c r="AJ18" s="420"/>
      <c r="AK18" s="420"/>
      <c r="AL18" s="421"/>
      <c r="AM18" s="415"/>
      <c r="AN18" s="420"/>
      <c r="AO18" s="420"/>
      <c r="AP18" s="421"/>
      <c r="AQ18" s="415"/>
      <c r="AR18" s="420"/>
      <c r="AS18" s="420"/>
      <c r="AT18" s="177">
        <f t="shared" si="0"/>
        <v>30131</v>
      </c>
      <c r="AU18" s="178">
        <f t="shared" si="1"/>
        <v>30131</v>
      </c>
    </row>
    <row r="19" spans="2:47" x14ac:dyDescent="0.25">
      <c r="B19" s="414">
        <v>4</v>
      </c>
      <c r="C19" s="414" t="s">
        <v>39</v>
      </c>
      <c r="D19" s="415">
        <v>30080169</v>
      </c>
      <c r="E19" s="416" t="s">
        <v>734</v>
      </c>
      <c r="F19" s="417" t="s">
        <v>729</v>
      </c>
      <c r="G19" s="416" t="s">
        <v>730</v>
      </c>
      <c r="H19" s="414" t="s">
        <v>731</v>
      </c>
      <c r="I19" s="414" t="s">
        <v>57</v>
      </c>
      <c r="J19" s="418">
        <v>2453067</v>
      </c>
      <c r="K19" s="418">
        <v>1760909</v>
      </c>
      <c r="L19" s="418">
        <v>0</v>
      </c>
      <c r="M19" s="419">
        <v>0</v>
      </c>
      <c r="N19" s="419">
        <v>9999.7559999999994</v>
      </c>
      <c r="O19" s="419">
        <v>49284.885000000002</v>
      </c>
      <c r="P19" s="419"/>
      <c r="Q19" s="419"/>
      <c r="R19" s="419"/>
      <c r="S19" s="419"/>
      <c r="T19" s="419"/>
      <c r="U19" s="419"/>
      <c r="V19" s="419"/>
      <c r="W19" s="419"/>
      <c r="X19" s="419"/>
      <c r="Y19" s="419">
        <f t="shared" si="2"/>
        <v>59284.641000000003</v>
      </c>
      <c r="Z19" s="419">
        <v>307029</v>
      </c>
      <c r="AA19" s="415">
        <v>11</v>
      </c>
      <c r="AB19" s="420">
        <v>44245</v>
      </c>
      <c r="AC19" s="420">
        <v>44258</v>
      </c>
      <c r="AD19" s="421"/>
      <c r="AE19" s="415"/>
      <c r="AF19" s="420"/>
      <c r="AG19" s="420"/>
      <c r="AH19" s="421"/>
      <c r="AI19" s="415"/>
      <c r="AJ19" s="420"/>
      <c r="AK19" s="420"/>
      <c r="AL19" s="421"/>
      <c r="AM19" s="415"/>
      <c r="AN19" s="420"/>
      <c r="AO19" s="420"/>
      <c r="AP19" s="421"/>
      <c r="AQ19" s="415"/>
      <c r="AR19" s="420"/>
      <c r="AS19" s="420"/>
      <c r="AT19" s="177">
        <f t="shared" si="0"/>
        <v>307029</v>
      </c>
      <c r="AU19" s="178">
        <f t="shared" si="1"/>
        <v>247744.359</v>
      </c>
    </row>
    <row r="20" spans="2:47" x14ac:dyDescent="0.25">
      <c r="B20" s="414">
        <v>5</v>
      </c>
      <c r="C20" s="414" t="s">
        <v>39</v>
      </c>
      <c r="D20" s="415">
        <v>30118733</v>
      </c>
      <c r="E20" s="416" t="s">
        <v>735</v>
      </c>
      <c r="F20" s="417" t="s">
        <v>729</v>
      </c>
      <c r="G20" s="416" t="s">
        <v>730</v>
      </c>
      <c r="H20" s="414" t="s">
        <v>731</v>
      </c>
      <c r="I20" s="414" t="s">
        <v>57</v>
      </c>
      <c r="J20" s="418">
        <v>6349137</v>
      </c>
      <c r="K20" s="418">
        <v>5969452</v>
      </c>
      <c r="L20" s="418">
        <v>0</v>
      </c>
      <c r="M20" s="419">
        <v>0</v>
      </c>
      <c r="N20" s="419">
        <v>0</v>
      </c>
      <c r="O20" s="419">
        <v>305.77800000000002</v>
      </c>
      <c r="P20" s="419"/>
      <c r="Q20" s="419"/>
      <c r="R20" s="419"/>
      <c r="S20" s="419"/>
      <c r="T20" s="419"/>
      <c r="U20" s="419"/>
      <c r="V20" s="419"/>
      <c r="W20" s="419"/>
      <c r="X20" s="419"/>
      <c r="Y20" s="419">
        <f t="shared" si="2"/>
        <v>305.77800000000002</v>
      </c>
      <c r="Z20" s="419">
        <v>334307</v>
      </c>
      <c r="AA20" s="415">
        <v>11</v>
      </c>
      <c r="AB20" s="420">
        <v>44245</v>
      </c>
      <c r="AC20" s="420">
        <v>44258</v>
      </c>
      <c r="AD20" s="421"/>
      <c r="AE20" s="415"/>
      <c r="AF20" s="420"/>
      <c r="AG20" s="420"/>
      <c r="AH20" s="421"/>
      <c r="AI20" s="415"/>
      <c r="AJ20" s="420"/>
      <c r="AK20" s="420"/>
      <c r="AL20" s="421"/>
      <c r="AM20" s="415"/>
      <c r="AN20" s="420"/>
      <c r="AO20" s="420"/>
      <c r="AP20" s="421"/>
      <c r="AQ20" s="415"/>
      <c r="AR20" s="420"/>
      <c r="AS20" s="420"/>
      <c r="AT20" s="177">
        <f t="shared" si="0"/>
        <v>334307</v>
      </c>
      <c r="AU20" s="178">
        <f t="shared" si="1"/>
        <v>334001.22200000001</v>
      </c>
    </row>
    <row r="21" spans="2:47" x14ac:dyDescent="0.25">
      <c r="B21" s="414">
        <v>6</v>
      </c>
      <c r="C21" s="414" t="s">
        <v>39</v>
      </c>
      <c r="D21" s="415">
        <v>30121373</v>
      </c>
      <c r="E21" s="416" t="s">
        <v>736</v>
      </c>
      <c r="F21" s="417" t="s">
        <v>603</v>
      </c>
      <c r="G21" s="416" t="s">
        <v>730</v>
      </c>
      <c r="H21" s="414" t="s">
        <v>731</v>
      </c>
      <c r="I21" s="414" t="s">
        <v>72</v>
      </c>
      <c r="J21" s="418">
        <v>4207118</v>
      </c>
      <c r="K21" s="418">
        <v>1535</v>
      </c>
      <c r="L21" s="418">
        <v>384184</v>
      </c>
      <c r="M21" s="419">
        <v>0</v>
      </c>
      <c r="N21" s="419">
        <v>0</v>
      </c>
      <c r="O21" s="419">
        <v>0</v>
      </c>
      <c r="P21" s="419"/>
      <c r="Q21" s="419"/>
      <c r="R21" s="419"/>
      <c r="S21" s="419"/>
      <c r="T21" s="419"/>
      <c r="U21" s="419"/>
      <c r="V21" s="419"/>
      <c r="W21" s="419"/>
      <c r="X21" s="419"/>
      <c r="Y21" s="419">
        <f t="shared" si="2"/>
        <v>0</v>
      </c>
      <c r="Z21" s="419">
        <v>10001</v>
      </c>
      <c r="AA21" s="415">
        <v>8</v>
      </c>
      <c r="AB21" s="420">
        <v>44223</v>
      </c>
      <c r="AC21" s="420">
        <v>44237</v>
      </c>
      <c r="AD21" s="421"/>
      <c r="AE21" s="415"/>
      <c r="AF21" s="420"/>
      <c r="AG21" s="420"/>
      <c r="AH21" s="421"/>
      <c r="AI21" s="415"/>
      <c r="AJ21" s="420"/>
      <c r="AK21" s="420"/>
      <c r="AL21" s="421"/>
      <c r="AM21" s="415"/>
      <c r="AN21" s="420"/>
      <c r="AO21" s="420"/>
      <c r="AP21" s="421"/>
      <c r="AQ21" s="415"/>
      <c r="AR21" s="420"/>
      <c r="AS21" s="420"/>
      <c r="AT21" s="177">
        <f t="shared" si="0"/>
        <v>10001</v>
      </c>
      <c r="AU21" s="178">
        <f t="shared" si="1"/>
        <v>10001</v>
      </c>
    </row>
    <row r="22" spans="2:47" x14ac:dyDescent="0.25">
      <c r="B22" s="414">
        <v>7</v>
      </c>
      <c r="C22" s="414" t="s">
        <v>39</v>
      </c>
      <c r="D22" s="415">
        <v>30131113</v>
      </c>
      <c r="E22" s="416" t="s">
        <v>737</v>
      </c>
      <c r="F22" s="417" t="s">
        <v>729</v>
      </c>
      <c r="G22" s="416" t="s">
        <v>730</v>
      </c>
      <c r="H22" s="414" t="s">
        <v>731</v>
      </c>
      <c r="I22" s="414" t="s">
        <v>57</v>
      </c>
      <c r="J22" s="418">
        <v>369823</v>
      </c>
      <c r="K22" s="418">
        <v>346798</v>
      </c>
      <c r="L22" s="418">
        <v>0</v>
      </c>
      <c r="M22" s="419">
        <v>0</v>
      </c>
      <c r="N22" s="419">
        <v>0</v>
      </c>
      <c r="O22" s="419">
        <v>8500</v>
      </c>
      <c r="P22" s="419"/>
      <c r="Q22" s="419"/>
      <c r="R22" s="419"/>
      <c r="S22" s="419"/>
      <c r="T22" s="419"/>
      <c r="U22" s="419"/>
      <c r="V22" s="419"/>
      <c r="W22" s="419"/>
      <c r="X22" s="419"/>
      <c r="Y22" s="419">
        <f t="shared" si="2"/>
        <v>8500</v>
      </c>
      <c r="Z22" s="419">
        <v>9439</v>
      </c>
      <c r="AA22" s="415">
        <v>12</v>
      </c>
      <c r="AB22" s="420">
        <v>44245</v>
      </c>
      <c r="AC22" s="420">
        <v>44266</v>
      </c>
      <c r="AD22" s="421"/>
      <c r="AE22" s="415"/>
      <c r="AF22" s="420"/>
      <c r="AG22" s="420"/>
      <c r="AH22" s="421"/>
      <c r="AI22" s="415"/>
      <c r="AJ22" s="420"/>
      <c r="AK22" s="420"/>
      <c r="AL22" s="421"/>
      <c r="AM22" s="415"/>
      <c r="AN22" s="420"/>
      <c r="AO22" s="420"/>
      <c r="AP22" s="421"/>
      <c r="AQ22" s="415"/>
      <c r="AR22" s="420"/>
      <c r="AS22" s="420"/>
      <c r="AT22" s="177">
        <f t="shared" si="0"/>
        <v>9439</v>
      </c>
      <c r="AU22" s="178">
        <f t="shared" si="1"/>
        <v>939</v>
      </c>
    </row>
    <row r="23" spans="2:47" x14ac:dyDescent="0.25">
      <c r="B23" s="414">
        <v>8</v>
      </c>
      <c r="C23" s="414" t="s">
        <v>39</v>
      </c>
      <c r="D23" s="415">
        <v>30134490</v>
      </c>
      <c r="E23" s="416" t="s">
        <v>738</v>
      </c>
      <c r="F23" s="417" t="s">
        <v>603</v>
      </c>
      <c r="G23" s="416" t="s">
        <v>730</v>
      </c>
      <c r="H23" s="414" t="s">
        <v>731</v>
      </c>
      <c r="I23" s="414" t="s">
        <v>72</v>
      </c>
      <c r="J23" s="418">
        <v>882987</v>
      </c>
      <c r="K23" s="418">
        <v>2593</v>
      </c>
      <c r="L23" s="418">
        <v>2</v>
      </c>
      <c r="M23" s="419">
        <v>0</v>
      </c>
      <c r="N23" s="419">
        <v>0</v>
      </c>
      <c r="O23" s="419">
        <v>0</v>
      </c>
      <c r="P23" s="419"/>
      <c r="Q23" s="419"/>
      <c r="R23" s="419"/>
      <c r="S23" s="419"/>
      <c r="T23" s="419"/>
      <c r="U23" s="419"/>
      <c r="V23" s="419"/>
      <c r="W23" s="419"/>
      <c r="X23" s="419"/>
      <c r="Y23" s="419">
        <f t="shared" si="2"/>
        <v>0</v>
      </c>
      <c r="Z23" s="419">
        <v>817338</v>
      </c>
      <c r="AA23" s="415">
        <v>7</v>
      </c>
      <c r="AB23" s="420">
        <v>44223</v>
      </c>
      <c r="AC23" s="420">
        <v>44244</v>
      </c>
      <c r="AD23" s="421">
        <v>43685</v>
      </c>
      <c r="AE23" s="415">
        <v>17</v>
      </c>
      <c r="AF23" s="420">
        <v>44260</v>
      </c>
      <c r="AG23" s="420">
        <v>44272</v>
      </c>
      <c r="AH23" s="421"/>
      <c r="AI23" s="415"/>
      <c r="AJ23" s="420"/>
      <c r="AK23" s="420"/>
      <c r="AL23" s="421"/>
      <c r="AM23" s="415"/>
      <c r="AN23" s="420"/>
      <c r="AO23" s="420"/>
      <c r="AP23" s="421"/>
      <c r="AQ23" s="415"/>
      <c r="AR23" s="420"/>
      <c r="AS23" s="420"/>
      <c r="AT23" s="177">
        <f t="shared" si="0"/>
        <v>861023</v>
      </c>
      <c r="AU23" s="178">
        <f t="shared" si="1"/>
        <v>861023</v>
      </c>
    </row>
    <row r="24" spans="2:47" x14ac:dyDescent="0.25">
      <c r="B24" s="414">
        <v>9</v>
      </c>
      <c r="C24" s="414" t="s">
        <v>39</v>
      </c>
      <c r="D24" s="415">
        <v>30135806</v>
      </c>
      <c r="E24" s="416" t="s">
        <v>739</v>
      </c>
      <c r="F24" s="417" t="s">
        <v>603</v>
      </c>
      <c r="G24" s="416" t="s">
        <v>730</v>
      </c>
      <c r="H24" s="414" t="s">
        <v>731</v>
      </c>
      <c r="I24" s="414" t="s">
        <v>57</v>
      </c>
      <c r="J24" s="418">
        <v>152093</v>
      </c>
      <c r="K24" s="418">
        <v>3029</v>
      </c>
      <c r="L24" s="418">
        <v>0</v>
      </c>
      <c r="M24" s="419">
        <v>0</v>
      </c>
      <c r="N24" s="419">
        <v>0</v>
      </c>
      <c r="O24" s="419">
        <v>0</v>
      </c>
      <c r="P24" s="419"/>
      <c r="Q24" s="419"/>
      <c r="R24" s="419"/>
      <c r="S24" s="419"/>
      <c r="T24" s="419"/>
      <c r="U24" s="419"/>
      <c r="V24" s="419"/>
      <c r="W24" s="419"/>
      <c r="X24" s="419"/>
      <c r="Y24" s="419">
        <f t="shared" si="2"/>
        <v>0</v>
      </c>
      <c r="Z24" s="419">
        <v>104122</v>
      </c>
      <c r="AA24" s="415">
        <v>8</v>
      </c>
      <c r="AB24" s="420">
        <v>44223</v>
      </c>
      <c r="AC24" s="420">
        <v>44237</v>
      </c>
      <c r="AD24" s="421">
        <v>41662</v>
      </c>
      <c r="AE24" s="415">
        <v>17</v>
      </c>
      <c r="AF24" s="420">
        <v>44260</v>
      </c>
      <c r="AG24" s="420">
        <v>44272</v>
      </c>
      <c r="AH24" s="421"/>
      <c r="AI24" s="415"/>
      <c r="AJ24" s="420"/>
      <c r="AK24" s="420"/>
      <c r="AL24" s="421"/>
      <c r="AM24" s="415"/>
      <c r="AN24" s="420"/>
      <c r="AO24" s="420"/>
      <c r="AP24" s="421"/>
      <c r="AQ24" s="415"/>
      <c r="AR24" s="420"/>
      <c r="AS24" s="420"/>
      <c r="AT24" s="177">
        <f t="shared" si="0"/>
        <v>145784</v>
      </c>
      <c r="AU24" s="178">
        <f t="shared" si="1"/>
        <v>145784</v>
      </c>
    </row>
    <row r="25" spans="2:47" x14ac:dyDescent="0.25">
      <c r="B25" s="414">
        <v>10</v>
      </c>
      <c r="C25" s="414" t="s">
        <v>39</v>
      </c>
      <c r="D25" s="415">
        <v>30203322</v>
      </c>
      <c r="E25" s="416" t="s">
        <v>740</v>
      </c>
      <c r="F25" s="417" t="s">
        <v>729</v>
      </c>
      <c r="G25" s="416" t="s">
        <v>730</v>
      </c>
      <c r="H25" s="414" t="s">
        <v>731</v>
      </c>
      <c r="I25" s="414" t="s">
        <v>57</v>
      </c>
      <c r="J25" s="418">
        <v>649153</v>
      </c>
      <c r="K25" s="418">
        <v>546931</v>
      </c>
      <c r="L25" s="418">
        <v>0</v>
      </c>
      <c r="M25" s="419">
        <v>0</v>
      </c>
      <c r="N25" s="419">
        <v>0</v>
      </c>
      <c r="O25" s="419">
        <v>0</v>
      </c>
      <c r="P25" s="419"/>
      <c r="Q25" s="419"/>
      <c r="R25" s="419"/>
      <c r="S25" s="419"/>
      <c r="T25" s="419"/>
      <c r="U25" s="419"/>
      <c r="V25" s="419"/>
      <c r="W25" s="419"/>
      <c r="X25" s="419"/>
      <c r="Y25" s="419">
        <f t="shared" si="2"/>
        <v>0</v>
      </c>
      <c r="Z25" s="419">
        <v>33275</v>
      </c>
      <c r="AA25" s="415">
        <v>13</v>
      </c>
      <c r="AB25" s="420">
        <v>44245</v>
      </c>
      <c r="AC25" s="420">
        <v>44267</v>
      </c>
      <c r="AD25" s="421"/>
      <c r="AE25" s="415"/>
      <c r="AF25" s="420"/>
      <c r="AG25" s="420"/>
      <c r="AH25" s="421"/>
      <c r="AI25" s="415"/>
      <c r="AJ25" s="420"/>
      <c r="AK25" s="420"/>
      <c r="AL25" s="421"/>
      <c r="AM25" s="415"/>
      <c r="AN25" s="420"/>
      <c r="AO25" s="420"/>
      <c r="AP25" s="421"/>
      <c r="AQ25" s="415"/>
      <c r="AR25" s="420"/>
      <c r="AS25" s="420"/>
      <c r="AT25" s="177">
        <f t="shared" si="0"/>
        <v>33275</v>
      </c>
      <c r="AU25" s="178">
        <f t="shared" si="1"/>
        <v>33275</v>
      </c>
    </row>
    <row r="26" spans="2:47" x14ac:dyDescent="0.25">
      <c r="B26" s="414">
        <v>11</v>
      </c>
      <c r="C26" s="414" t="s">
        <v>39</v>
      </c>
      <c r="D26" s="415">
        <v>30215723</v>
      </c>
      <c r="E26" s="416" t="s">
        <v>741</v>
      </c>
      <c r="F26" s="417" t="s">
        <v>729</v>
      </c>
      <c r="G26" s="416" t="s">
        <v>730</v>
      </c>
      <c r="H26" s="414" t="s">
        <v>731</v>
      </c>
      <c r="I26" s="414" t="s">
        <v>57</v>
      </c>
      <c r="J26" s="418">
        <v>318467</v>
      </c>
      <c r="K26" s="418">
        <v>212447</v>
      </c>
      <c r="L26" s="418">
        <v>2</v>
      </c>
      <c r="M26" s="419">
        <v>0</v>
      </c>
      <c r="N26" s="419">
        <v>0</v>
      </c>
      <c r="O26" s="419">
        <v>0</v>
      </c>
      <c r="P26" s="419"/>
      <c r="Q26" s="419"/>
      <c r="R26" s="419"/>
      <c r="S26" s="419"/>
      <c r="T26" s="419"/>
      <c r="U26" s="419"/>
      <c r="V26" s="419"/>
      <c r="W26" s="419"/>
      <c r="X26" s="419"/>
      <c r="Y26" s="419">
        <f t="shared" si="2"/>
        <v>0</v>
      </c>
      <c r="Z26" s="419">
        <v>106017</v>
      </c>
      <c r="AA26" s="415">
        <v>13</v>
      </c>
      <c r="AB26" s="420">
        <v>44245</v>
      </c>
      <c r="AC26" s="420">
        <v>44267</v>
      </c>
      <c r="AD26" s="421"/>
      <c r="AE26" s="415"/>
      <c r="AF26" s="420"/>
      <c r="AG26" s="420"/>
      <c r="AH26" s="421"/>
      <c r="AI26" s="415"/>
      <c r="AJ26" s="420"/>
      <c r="AK26" s="420"/>
      <c r="AL26" s="421"/>
      <c r="AM26" s="415"/>
      <c r="AN26" s="420"/>
      <c r="AO26" s="420"/>
      <c r="AP26" s="421"/>
      <c r="AQ26" s="415"/>
      <c r="AR26" s="420"/>
      <c r="AS26" s="420"/>
      <c r="AT26" s="177">
        <f t="shared" si="0"/>
        <v>106017</v>
      </c>
      <c r="AU26" s="178">
        <f t="shared" si="1"/>
        <v>106017</v>
      </c>
    </row>
    <row r="27" spans="2:47" x14ac:dyDescent="0.25">
      <c r="B27" s="414">
        <v>12</v>
      </c>
      <c r="C27" s="414" t="s">
        <v>39</v>
      </c>
      <c r="D27" s="415">
        <v>30274473</v>
      </c>
      <c r="E27" s="416" t="s">
        <v>742</v>
      </c>
      <c r="F27" s="417" t="s">
        <v>729</v>
      </c>
      <c r="G27" s="416" t="s">
        <v>730</v>
      </c>
      <c r="H27" s="414" t="s">
        <v>731</v>
      </c>
      <c r="I27" s="414" t="s">
        <v>57</v>
      </c>
      <c r="J27" s="418">
        <v>727770</v>
      </c>
      <c r="K27" s="418">
        <v>422611</v>
      </c>
      <c r="L27" s="418">
        <v>0</v>
      </c>
      <c r="M27" s="419">
        <v>0</v>
      </c>
      <c r="N27" s="419">
        <v>0</v>
      </c>
      <c r="O27" s="419">
        <v>73728.56</v>
      </c>
      <c r="P27" s="419"/>
      <c r="Q27" s="419"/>
      <c r="R27" s="419"/>
      <c r="S27" s="419"/>
      <c r="T27" s="419"/>
      <c r="U27" s="419"/>
      <c r="V27" s="419"/>
      <c r="W27" s="419"/>
      <c r="X27" s="419"/>
      <c r="Y27" s="419">
        <f t="shared" si="2"/>
        <v>73728.56</v>
      </c>
      <c r="Z27" s="419">
        <v>253807</v>
      </c>
      <c r="AA27" s="415">
        <v>12</v>
      </c>
      <c r="AB27" s="420">
        <v>44245</v>
      </c>
      <c r="AC27" s="420">
        <v>44266</v>
      </c>
      <c r="AD27" s="421"/>
      <c r="AE27" s="415"/>
      <c r="AF27" s="420"/>
      <c r="AG27" s="420"/>
      <c r="AH27" s="421"/>
      <c r="AI27" s="415"/>
      <c r="AJ27" s="420"/>
      <c r="AK27" s="420"/>
      <c r="AL27" s="421"/>
      <c r="AM27" s="415"/>
      <c r="AN27" s="420"/>
      <c r="AO27" s="420"/>
      <c r="AP27" s="421"/>
      <c r="AQ27" s="415"/>
      <c r="AR27" s="420"/>
      <c r="AS27" s="420"/>
      <c r="AT27" s="177">
        <f t="shared" si="0"/>
        <v>253807</v>
      </c>
      <c r="AU27" s="178">
        <f t="shared" si="1"/>
        <v>180078.44</v>
      </c>
    </row>
    <row r="28" spans="2:47" x14ac:dyDescent="0.25">
      <c r="B28" s="414">
        <v>13</v>
      </c>
      <c r="C28" s="414" t="s">
        <v>39</v>
      </c>
      <c r="D28" s="415">
        <v>30274474</v>
      </c>
      <c r="E28" s="416" t="s">
        <v>743</v>
      </c>
      <c r="F28" s="417" t="s">
        <v>729</v>
      </c>
      <c r="G28" s="416" t="s">
        <v>730</v>
      </c>
      <c r="H28" s="414" t="s">
        <v>731</v>
      </c>
      <c r="I28" s="414" t="s">
        <v>57</v>
      </c>
      <c r="J28" s="418">
        <v>812564</v>
      </c>
      <c r="K28" s="418">
        <v>520806</v>
      </c>
      <c r="L28" s="418">
        <v>0</v>
      </c>
      <c r="M28" s="419">
        <v>0</v>
      </c>
      <c r="N28" s="419">
        <v>0</v>
      </c>
      <c r="O28" s="419">
        <v>725.16099999999994</v>
      </c>
      <c r="P28" s="419"/>
      <c r="Q28" s="419"/>
      <c r="R28" s="419"/>
      <c r="S28" s="419"/>
      <c r="T28" s="419"/>
      <c r="U28" s="419"/>
      <c r="V28" s="419"/>
      <c r="W28" s="419"/>
      <c r="X28" s="419"/>
      <c r="Y28" s="419">
        <f t="shared" si="2"/>
        <v>725.16099999999994</v>
      </c>
      <c r="Z28" s="419">
        <v>242828</v>
      </c>
      <c r="AA28" s="415">
        <v>12</v>
      </c>
      <c r="AB28" s="420">
        <v>44245</v>
      </c>
      <c r="AC28" s="420">
        <v>44266</v>
      </c>
      <c r="AD28" s="421"/>
      <c r="AE28" s="415"/>
      <c r="AF28" s="420"/>
      <c r="AG28" s="420"/>
      <c r="AH28" s="421"/>
      <c r="AI28" s="415"/>
      <c r="AJ28" s="420"/>
      <c r="AK28" s="420"/>
      <c r="AL28" s="421"/>
      <c r="AM28" s="415"/>
      <c r="AN28" s="420"/>
      <c r="AO28" s="420"/>
      <c r="AP28" s="421"/>
      <c r="AQ28" s="415"/>
      <c r="AR28" s="420"/>
      <c r="AS28" s="420"/>
      <c r="AT28" s="177">
        <f t="shared" si="0"/>
        <v>242828</v>
      </c>
      <c r="AU28" s="178">
        <f t="shared" si="1"/>
        <v>242102.83900000001</v>
      </c>
    </row>
    <row r="29" spans="2:47" x14ac:dyDescent="0.25">
      <c r="B29" s="414">
        <v>14</v>
      </c>
      <c r="C29" s="414" t="s">
        <v>39</v>
      </c>
      <c r="D29" s="415">
        <v>30295074</v>
      </c>
      <c r="E29" s="416" t="s">
        <v>744</v>
      </c>
      <c r="F29" s="417" t="s">
        <v>603</v>
      </c>
      <c r="G29" s="416" t="s">
        <v>730</v>
      </c>
      <c r="H29" s="414" t="s">
        <v>731</v>
      </c>
      <c r="I29" s="414" t="s">
        <v>72</v>
      </c>
      <c r="J29" s="418">
        <v>9486666</v>
      </c>
      <c r="K29" s="418">
        <v>0</v>
      </c>
      <c r="L29" s="418">
        <v>1730579</v>
      </c>
      <c r="M29" s="419">
        <v>0</v>
      </c>
      <c r="N29" s="419">
        <v>0</v>
      </c>
      <c r="O29" s="419">
        <v>0</v>
      </c>
      <c r="P29" s="419"/>
      <c r="Q29" s="419"/>
      <c r="R29" s="419"/>
      <c r="S29" s="419"/>
      <c r="T29" s="419"/>
      <c r="U29" s="419"/>
      <c r="V29" s="419"/>
      <c r="W29" s="419"/>
      <c r="X29" s="419"/>
      <c r="Y29" s="419">
        <f t="shared" si="2"/>
        <v>0</v>
      </c>
      <c r="Z29" s="419">
        <v>22830</v>
      </c>
      <c r="AA29" s="415">
        <v>8</v>
      </c>
      <c r="AB29" s="420">
        <v>44223</v>
      </c>
      <c r="AC29" s="420">
        <v>44237</v>
      </c>
      <c r="AD29" s="421">
        <v>-19998</v>
      </c>
      <c r="AE29" s="415">
        <v>17</v>
      </c>
      <c r="AF29" s="420">
        <v>44260</v>
      </c>
      <c r="AG29" s="420">
        <v>44272</v>
      </c>
      <c r="AH29" s="421"/>
      <c r="AI29" s="415"/>
      <c r="AJ29" s="420"/>
      <c r="AK29" s="420"/>
      <c r="AL29" s="421"/>
      <c r="AM29" s="415"/>
      <c r="AN29" s="420"/>
      <c r="AO29" s="420"/>
      <c r="AP29" s="421"/>
      <c r="AQ29" s="415"/>
      <c r="AR29" s="420"/>
      <c r="AS29" s="420"/>
      <c r="AT29" s="177">
        <f t="shared" si="0"/>
        <v>2832</v>
      </c>
      <c r="AU29" s="178">
        <f t="shared" si="1"/>
        <v>2832</v>
      </c>
    </row>
    <row r="30" spans="2:47" x14ac:dyDescent="0.25">
      <c r="B30" s="414">
        <v>15</v>
      </c>
      <c r="C30" s="414" t="s">
        <v>39</v>
      </c>
      <c r="D30" s="415">
        <v>30306072</v>
      </c>
      <c r="E30" s="416" t="s">
        <v>745</v>
      </c>
      <c r="F30" s="417" t="s">
        <v>729</v>
      </c>
      <c r="G30" s="416" t="s">
        <v>730</v>
      </c>
      <c r="H30" s="414" t="s">
        <v>731</v>
      </c>
      <c r="I30" s="414" t="s">
        <v>57</v>
      </c>
      <c r="J30" s="418">
        <v>36147728</v>
      </c>
      <c r="K30" s="418">
        <v>31062728</v>
      </c>
      <c r="L30" s="418">
        <v>0</v>
      </c>
      <c r="M30" s="419">
        <v>0</v>
      </c>
      <c r="N30" s="419">
        <v>52123.627999999997</v>
      </c>
      <c r="O30" s="419">
        <v>689046.54599999997</v>
      </c>
      <c r="P30" s="419"/>
      <c r="Q30" s="419"/>
      <c r="R30" s="419"/>
      <c r="S30" s="419"/>
      <c r="T30" s="419"/>
      <c r="U30" s="419"/>
      <c r="V30" s="419"/>
      <c r="W30" s="419"/>
      <c r="X30" s="419"/>
      <c r="Y30" s="419">
        <f t="shared" si="2"/>
        <v>741170.174</v>
      </c>
      <c r="Z30" s="419">
        <v>2035000</v>
      </c>
      <c r="AA30" s="415">
        <v>7</v>
      </c>
      <c r="AB30" s="420">
        <v>44223</v>
      </c>
      <c r="AC30" s="420">
        <v>44244</v>
      </c>
      <c r="AD30" s="421">
        <v>722048</v>
      </c>
      <c r="AE30" s="415">
        <v>17</v>
      </c>
      <c r="AF30" s="420">
        <v>44260</v>
      </c>
      <c r="AG30" s="420">
        <v>44272</v>
      </c>
      <c r="AH30" s="421"/>
      <c r="AI30" s="415"/>
      <c r="AJ30" s="420"/>
      <c r="AK30" s="420"/>
      <c r="AL30" s="421"/>
      <c r="AM30" s="415"/>
      <c r="AN30" s="420"/>
      <c r="AO30" s="420"/>
      <c r="AP30" s="421"/>
      <c r="AQ30" s="415"/>
      <c r="AR30" s="420"/>
      <c r="AS30" s="420"/>
      <c r="AT30" s="177">
        <f t="shared" si="0"/>
        <v>2757048</v>
      </c>
      <c r="AU30" s="178">
        <f t="shared" si="1"/>
        <v>2015877.8259999999</v>
      </c>
    </row>
    <row r="31" spans="2:47" x14ac:dyDescent="0.25">
      <c r="B31" s="414">
        <v>16</v>
      </c>
      <c r="C31" s="414" t="s">
        <v>39</v>
      </c>
      <c r="D31" s="415">
        <v>30314776</v>
      </c>
      <c r="E31" s="416" t="s">
        <v>746</v>
      </c>
      <c r="F31" s="417" t="s">
        <v>747</v>
      </c>
      <c r="G31" s="416" t="s">
        <v>730</v>
      </c>
      <c r="H31" s="414" t="s">
        <v>748</v>
      </c>
      <c r="I31" s="414" t="s">
        <v>57</v>
      </c>
      <c r="J31" s="418">
        <v>75018</v>
      </c>
      <c r="K31" s="418">
        <v>20955</v>
      </c>
      <c r="L31" s="418">
        <v>0</v>
      </c>
      <c r="M31" s="419">
        <v>0</v>
      </c>
      <c r="N31" s="419">
        <v>0</v>
      </c>
      <c r="O31" s="419">
        <v>0</v>
      </c>
      <c r="P31" s="419"/>
      <c r="Q31" s="419"/>
      <c r="R31" s="419"/>
      <c r="S31" s="419"/>
      <c r="T31" s="419"/>
      <c r="U31" s="419"/>
      <c r="V31" s="419"/>
      <c r="W31" s="419"/>
      <c r="X31" s="419"/>
      <c r="Y31" s="419">
        <f t="shared" si="2"/>
        <v>0</v>
      </c>
      <c r="Z31" s="419">
        <v>51943</v>
      </c>
      <c r="AA31" s="415">
        <v>13</v>
      </c>
      <c r="AB31" s="420">
        <v>44245</v>
      </c>
      <c r="AC31" s="420">
        <v>44267</v>
      </c>
      <c r="AD31" s="421"/>
      <c r="AE31" s="415"/>
      <c r="AF31" s="420"/>
      <c r="AG31" s="420"/>
      <c r="AH31" s="421"/>
      <c r="AI31" s="415"/>
      <c r="AJ31" s="420"/>
      <c r="AK31" s="420"/>
      <c r="AL31" s="421"/>
      <c r="AM31" s="415"/>
      <c r="AN31" s="420"/>
      <c r="AO31" s="420"/>
      <c r="AP31" s="421"/>
      <c r="AQ31" s="415"/>
      <c r="AR31" s="420"/>
      <c r="AS31" s="420"/>
      <c r="AT31" s="177">
        <f t="shared" si="0"/>
        <v>51943</v>
      </c>
      <c r="AU31" s="178">
        <f t="shared" si="1"/>
        <v>51943</v>
      </c>
    </row>
    <row r="32" spans="2:47" x14ac:dyDescent="0.25">
      <c r="B32" s="414">
        <v>17</v>
      </c>
      <c r="C32" s="414" t="s">
        <v>39</v>
      </c>
      <c r="D32" s="415">
        <v>30341673</v>
      </c>
      <c r="E32" s="416" t="s">
        <v>749</v>
      </c>
      <c r="F32" s="417" t="s">
        <v>729</v>
      </c>
      <c r="G32" s="416" t="s">
        <v>730</v>
      </c>
      <c r="H32" s="414" t="s">
        <v>731</v>
      </c>
      <c r="I32" s="414" t="s">
        <v>57</v>
      </c>
      <c r="J32" s="418">
        <v>679249</v>
      </c>
      <c r="K32" s="418">
        <v>667476</v>
      </c>
      <c r="L32" s="418">
        <v>0</v>
      </c>
      <c r="M32" s="419">
        <v>0</v>
      </c>
      <c r="N32" s="419">
        <v>0</v>
      </c>
      <c r="O32" s="419">
        <v>573.84199999999998</v>
      </c>
      <c r="P32" s="419"/>
      <c r="Q32" s="419"/>
      <c r="R32" s="419"/>
      <c r="S32" s="419"/>
      <c r="T32" s="419"/>
      <c r="U32" s="419"/>
      <c r="V32" s="419"/>
      <c r="W32" s="419"/>
      <c r="X32" s="419"/>
      <c r="Y32" s="419">
        <f t="shared" si="2"/>
        <v>573.84199999999998</v>
      </c>
      <c r="Z32" s="419">
        <v>3009</v>
      </c>
      <c r="AA32" s="415">
        <v>11</v>
      </c>
      <c r="AB32" s="420">
        <v>44245</v>
      </c>
      <c r="AC32" s="420">
        <v>44258</v>
      </c>
      <c r="AD32" s="421"/>
      <c r="AE32" s="415"/>
      <c r="AF32" s="420"/>
      <c r="AG32" s="420"/>
      <c r="AH32" s="421"/>
      <c r="AI32" s="415"/>
      <c r="AJ32" s="420"/>
      <c r="AK32" s="420"/>
      <c r="AL32" s="421"/>
      <c r="AM32" s="415"/>
      <c r="AN32" s="420"/>
      <c r="AO32" s="420"/>
      <c r="AP32" s="421"/>
      <c r="AQ32" s="415"/>
      <c r="AR32" s="420"/>
      <c r="AS32" s="420"/>
      <c r="AT32" s="177">
        <f t="shared" si="0"/>
        <v>3009</v>
      </c>
      <c r="AU32" s="178">
        <f t="shared" si="1"/>
        <v>2435.1579999999999</v>
      </c>
    </row>
    <row r="33" spans="2:47" x14ac:dyDescent="0.25">
      <c r="B33" s="414">
        <v>18</v>
      </c>
      <c r="C33" s="414" t="s">
        <v>39</v>
      </c>
      <c r="D33" s="415">
        <v>30347722</v>
      </c>
      <c r="E33" s="416" t="s">
        <v>750</v>
      </c>
      <c r="F33" s="417" t="s">
        <v>60</v>
      </c>
      <c r="G33" s="416" t="s">
        <v>730</v>
      </c>
      <c r="H33" s="414" t="s">
        <v>731</v>
      </c>
      <c r="I33" s="414" t="s">
        <v>57</v>
      </c>
      <c r="J33" s="418">
        <v>432689</v>
      </c>
      <c r="K33" s="418">
        <v>80160</v>
      </c>
      <c r="L33" s="418">
        <v>0</v>
      </c>
      <c r="M33" s="419">
        <v>0</v>
      </c>
      <c r="N33" s="419">
        <v>0</v>
      </c>
      <c r="O33" s="419">
        <v>47586.654000000002</v>
      </c>
      <c r="P33" s="419"/>
      <c r="Q33" s="419"/>
      <c r="R33" s="419"/>
      <c r="S33" s="419"/>
      <c r="T33" s="419"/>
      <c r="U33" s="419"/>
      <c r="V33" s="419"/>
      <c r="W33" s="419"/>
      <c r="X33" s="419"/>
      <c r="Y33" s="419">
        <f t="shared" si="2"/>
        <v>47586.654000000002</v>
      </c>
      <c r="Z33" s="419">
        <v>76139</v>
      </c>
      <c r="AA33" s="415">
        <v>12</v>
      </c>
      <c r="AB33" s="420">
        <v>44245</v>
      </c>
      <c r="AC33" s="420">
        <v>44266</v>
      </c>
      <c r="AD33" s="421"/>
      <c r="AE33" s="415"/>
      <c r="AF33" s="420"/>
      <c r="AG33" s="420"/>
      <c r="AH33" s="421"/>
      <c r="AI33" s="415"/>
      <c r="AJ33" s="420"/>
      <c r="AK33" s="420"/>
      <c r="AL33" s="421"/>
      <c r="AM33" s="415"/>
      <c r="AN33" s="420"/>
      <c r="AO33" s="420"/>
      <c r="AP33" s="421"/>
      <c r="AQ33" s="415"/>
      <c r="AR33" s="420"/>
      <c r="AS33" s="420"/>
      <c r="AT33" s="177">
        <f t="shared" si="0"/>
        <v>76139</v>
      </c>
      <c r="AU33" s="178">
        <f t="shared" si="1"/>
        <v>28552.345999999998</v>
      </c>
    </row>
    <row r="34" spans="2:47" x14ac:dyDescent="0.25">
      <c r="B34" s="414">
        <v>19</v>
      </c>
      <c r="C34" s="414" t="s">
        <v>39</v>
      </c>
      <c r="D34" s="415">
        <v>30348429</v>
      </c>
      <c r="E34" s="416" t="s">
        <v>751</v>
      </c>
      <c r="F34" s="417" t="s">
        <v>603</v>
      </c>
      <c r="G34" s="416" t="s">
        <v>730</v>
      </c>
      <c r="H34" s="414" t="s">
        <v>731</v>
      </c>
      <c r="I34" s="414" t="s">
        <v>72</v>
      </c>
      <c r="J34" s="418">
        <v>2771622</v>
      </c>
      <c r="K34" s="418">
        <v>1840</v>
      </c>
      <c r="L34" s="418">
        <v>0</v>
      </c>
      <c r="M34" s="419">
        <v>0</v>
      </c>
      <c r="N34" s="419">
        <v>0</v>
      </c>
      <c r="O34" s="419">
        <v>0</v>
      </c>
      <c r="P34" s="419"/>
      <c r="Q34" s="419"/>
      <c r="R34" s="419"/>
      <c r="S34" s="419"/>
      <c r="T34" s="419"/>
      <c r="U34" s="419"/>
      <c r="V34" s="419"/>
      <c r="W34" s="419"/>
      <c r="X34" s="419"/>
      <c r="Y34" s="419">
        <f t="shared" si="2"/>
        <v>0</v>
      </c>
      <c r="Z34" s="419">
        <v>1695033</v>
      </c>
      <c r="AA34" s="415">
        <v>13</v>
      </c>
      <c r="AB34" s="420">
        <v>44245</v>
      </c>
      <c r="AC34" s="420">
        <v>44267</v>
      </c>
      <c r="AD34" s="421"/>
      <c r="AE34" s="415"/>
      <c r="AF34" s="420"/>
      <c r="AG34" s="420"/>
      <c r="AH34" s="421"/>
      <c r="AI34" s="415"/>
      <c r="AJ34" s="420"/>
      <c r="AK34" s="420"/>
      <c r="AL34" s="421"/>
      <c r="AM34" s="415"/>
      <c r="AN34" s="420"/>
      <c r="AO34" s="420"/>
      <c r="AP34" s="421"/>
      <c r="AQ34" s="415"/>
      <c r="AR34" s="420"/>
      <c r="AS34" s="420"/>
      <c r="AT34" s="177">
        <f t="shared" si="0"/>
        <v>1695033</v>
      </c>
      <c r="AU34" s="178">
        <f t="shared" si="1"/>
        <v>1695033</v>
      </c>
    </row>
    <row r="35" spans="2:47" x14ac:dyDescent="0.25">
      <c r="B35" s="414">
        <v>20</v>
      </c>
      <c r="C35" s="414" t="s">
        <v>39</v>
      </c>
      <c r="D35" s="415">
        <v>30354106</v>
      </c>
      <c r="E35" s="416" t="s">
        <v>752</v>
      </c>
      <c r="F35" s="417" t="s">
        <v>603</v>
      </c>
      <c r="G35" s="416" t="s">
        <v>730</v>
      </c>
      <c r="H35" s="414" t="s">
        <v>731</v>
      </c>
      <c r="I35" s="414" t="s">
        <v>57</v>
      </c>
      <c r="J35" s="418">
        <v>814960</v>
      </c>
      <c r="K35" s="418">
        <v>72649</v>
      </c>
      <c r="L35" s="418">
        <v>0</v>
      </c>
      <c r="M35" s="419">
        <v>0</v>
      </c>
      <c r="N35" s="419">
        <v>0</v>
      </c>
      <c r="O35" s="419">
        <v>17317.986000000001</v>
      </c>
      <c r="P35" s="419"/>
      <c r="Q35" s="419"/>
      <c r="R35" s="419"/>
      <c r="S35" s="419"/>
      <c r="T35" s="419"/>
      <c r="U35" s="419"/>
      <c r="V35" s="419"/>
      <c r="W35" s="419"/>
      <c r="X35" s="419"/>
      <c r="Y35" s="419">
        <f t="shared" si="2"/>
        <v>17317.986000000001</v>
      </c>
      <c r="Z35" s="419">
        <v>656966</v>
      </c>
      <c r="AA35" s="415">
        <v>12</v>
      </c>
      <c r="AB35" s="420">
        <v>44245</v>
      </c>
      <c r="AC35" s="420">
        <v>44266</v>
      </c>
      <c r="AD35" s="421"/>
      <c r="AE35" s="415"/>
      <c r="AF35" s="420"/>
      <c r="AG35" s="420"/>
      <c r="AH35" s="421"/>
      <c r="AI35" s="415"/>
      <c r="AJ35" s="420"/>
      <c r="AK35" s="420"/>
      <c r="AL35" s="421"/>
      <c r="AM35" s="415"/>
      <c r="AN35" s="420"/>
      <c r="AO35" s="420"/>
      <c r="AP35" s="421"/>
      <c r="AQ35" s="415"/>
      <c r="AR35" s="420"/>
      <c r="AS35" s="420"/>
      <c r="AT35" s="177">
        <f t="shared" si="0"/>
        <v>656966</v>
      </c>
      <c r="AU35" s="178">
        <f t="shared" si="1"/>
        <v>639648.01399999997</v>
      </c>
    </row>
    <row r="36" spans="2:47" x14ac:dyDescent="0.25">
      <c r="B36" s="414">
        <v>21</v>
      </c>
      <c r="C36" s="414" t="s">
        <v>39</v>
      </c>
      <c r="D36" s="415">
        <v>30354625</v>
      </c>
      <c r="E36" s="416" t="s">
        <v>753</v>
      </c>
      <c r="F36" s="417" t="s">
        <v>754</v>
      </c>
      <c r="G36" s="416" t="s">
        <v>730</v>
      </c>
      <c r="H36" s="414" t="s">
        <v>731</v>
      </c>
      <c r="I36" s="414" t="s">
        <v>57</v>
      </c>
      <c r="J36" s="418">
        <v>3754538</v>
      </c>
      <c r="K36" s="418">
        <v>3745463</v>
      </c>
      <c r="L36" s="418">
        <v>0</v>
      </c>
      <c r="M36" s="419">
        <v>0</v>
      </c>
      <c r="N36" s="419">
        <v>0</v>
      </c>
      <c r="O36" s="419">
        <v>0</v>
      </c>
      <c r="P36" s="419"/>
      <c r="Q36" s="419"/>
      <c r="R36" s="419"/>
      <c r="S36" s="419"/>
      <c r="T36" s="419"/>
      <c r="U36" s="419"/>
      <c r="V36" s="419"/>
      <c r="W36" s="419"/>
      <c r="X36" s="419"/>
      <c r="Y36" s="419">
        <f t="shared" si="2"/>
        <v>0</v>
      </c>
      <c r="Z36" s="419">
        <v>8875</v>
      </c>
      <c r="AA36" s="415">
        <v>11</v>
      </c>
      <c r="AB36" s="420">
        <v>44245</v>
      </c>
      <c r="AC36" s="420">
        <v>44258</v>
      </c>
      <c r="AD36" s="421"/>
      <c r="AE36" s="415"/>
      <c r="AF36" s="420"/>
      <c r="AG36" s="420"/>
      <c r="AH36" s="421"/>
      <c r="AI36" s="415"/>
      <c r="AJ36" s="420"/>
      <c r="AK36" s="420"/>
      <c r="AL36" s="421"/>
      <c r="AM36" s="415"/>
      <c r="AN36" s="420"/>
      <c r="AO36" s="420"/>
      <c r="AP36" s="421"/>
      <c r="AQ36" s="415"/>
      <c r="AR36" s="420"/>
      <c r="AS36" s="420"/>
      <c r="AT36" s="177">
        <f t="shared" si="0"/>
        <v>8875</v>
      </c>
      <c r="AU36" s="178">
        <f t="shared" si="1"/>
        <v>8875</v>
      </c>
    </row>
    <row r="37" spans="2:47" x14ac:dyDescent="0.25">
      <c r="B37" s="414">
        <v>22</v>
      </c>
      <c r="C37" s="414" t="s">
        <v>39</v>
      </c>
      <c r="D37" s="415">
        <v>30354725</v>
      </c>
      <c r="E37" s="416" t="s">
        <v>755</v>
      </c>
      <c r="F37" s="417" t="s">
        <v>729</v>
      </c>
      <c r="G37" s="416" t="s">
        <v>730</v>
      </c>
      <c r="H37" s="414" t="s">
        <v>731</v>
      </c>
      <c r="I37" s="414" t="s">
        <v>57</v>
      </c>
      <c r="J37" s="418">
        <v>680491</v>
      </c>
      <c r="K37" s="418">
        <v>456722</v>
      </c>
      <c r="L37" s="418">
        <v>0</v>
      </c>
      <c r="M37" s="419">
        <v>0</v>
      </c>
      <c r="N37" s="419">
        <v>0</v>
      </c>
      <c r="O37" s="419">
        <v>179729.95600000001</v>
      </c>
      <c r="P37" s="419"/>
      <c r="Q37" s="419"/>
      <c r="R37" s="419"/>
      <c r="S37" s="419"/>
      <c r="T37" s="419"/>
      <c r="U37" s="419"/>
      <c r="V37" s="419"/>
      <c r="W37" s="419"/>
      <c r="X37" s="419"/>
      <c r="Y37" s="419">
        <f t="shared" si="2"/>
        <v>179729.95600000001</v>
      </c>
      <c r="Z37" s="419">
        <v>215769</v>
      </c>
      <c r="AA37" s="415">
        <v>12</v>
      </c>
      <c r="AB37" s="420">
        <v>44245</v>
      </c>
      <c r="AC37" s="420">
        <v>44266</v>
      </c>
      <c r="AD37" s="421"/>
      <c r="AE37" s="415"/>
      <c r="AF37" s="420"/>
      <c r="AG37" s="420"/>
      <c r="AH37" s="421"/>
      <c r="AI37" s="415"/>
      <c r="AJ37" s="420"/>
      <c r="AK37" s="420"/>
      <c r="AL37" s="421"/>
      <c r="AM37" s="415"/>
      <c r="AN37" s="420"/>
      <c r="AO37" s="420"/>
      <c r="AP37" s="421"/>
      <c r="AQ37" s="415"/>
      <c r="AR37" s="420"/>
      <c r="AS37" s="420"/>
      <c r="AT37" s="177">
        <f t="shared" si="0"/>
        <v>215769</v>
      </c>
      <c r="AU37" s="178">
        <f t="shared" si="1"/>
        <v>36039.043999999994</v>
      </c>
    </row>
    <row r="38" spans="2:47" x14ac:dyDescent="0.25">
      <c r="B38" s="414">
        <v>23</v>
      </c>
      <c r="C38" s="414" t="s">
        <v>39</v>
      </c>
      <c r="D38" s="415">
        <v>30354778</v>
      </c>
      <c r="E38" s="416" t="s">
        <v>756</v>
      </c>
      <c r="F38" s="417" t="s">
        <v>603</v>
      </c>
      <c r="G38" s="416" t="s">
        <v>730</v>
      </c>
      <c r="H38" s="414" t="s">
        <v>731</v>
      </c>
      <c r="I38" s="414" t="s">
        <v>72</v>
      </c>
      <c r="J38" s="418">
        <v>1053980</v>
      </c>
      <c r="K38" s="418">
        <v>0</v>
      </c>
      <c r="L38" s="418">
        <v>501424</v>
      </c>
      <c r="M38" s="419">
        <v>0</v>
      </c>
      <c r="N38" s="419">
        <v>0</v>
      </c>
      <c r="O38" s="419">
        <v>0</v>
      </c>
      <c r="P38" s="419"/>
      <c r="Q38" s="419"/>
      <c r="R38" s="419"/>
      <c r="S38" s="419"/>
      <c r="T38" s="419"/>
      <c r="U38" s="419"/>
      <c r="V38" s="419"/>
      <c r="W38" s="419"/>
      <c r="X38" s="419"/>
      <c r="Y38" s="419">
        <f t="shared" si="2"/>
        <v>0</v>
      </c>
      <c r="Z38" s="419">
        <v>12500</v>
      </c>
      <c r="AA38" s="415">
        <v>8</v>
      </c>
      <c r="AB38" s="420">
        <v>44223</v>
      </c>
      <c r="AC38" s="420">
        <v>44237</v>
      </c>
      <c r="AD38" s="421">
        <v>1</v>
      </c>
      <c r="AE38" s="415">
        <v>17</v>
      </c>
      <c r="AF38" s="420">
        <v>44260</v>
      </c>
      <c r="AG38" s="420">
        <v>44272</v>
      </c>
      <c r="AH38" s="421">
        <v>539999</v>
      </c>
      <c r="AI38" s="415">
        <v>18</v>
      </c>
      <c r="AJ38" s="420">
        <v>44264</v>
      </c>
      <c r="AK38" s="420">
        <v>44273</v>
      </c>
      <c r="AL38" s="421"/>
      <c r="AM38" s="415"/>
      <c r="AN38" s="420"/>
      <c r="AO38" s="420"/>
      <c r="AP38" s="421"/>
      <c r="AQ38" s="415"/>
      <c r="AR38" s="420"/>
      <c r="AS38" s="420"/>
      <c r="AT38" s="177">
        <f t="shared" si="0"/>
        <v>552500</v>
      </c>
      <c r="AU38" s="178">
        <f t="shared" si="1"/>
        <v>552500</v>
      </c>
    </row>
    <row r="39" spans="2:47" x14ac:dyDescent="0.25">
      <c r="B39" s="414">
        <v>24</v>
      </c>
      <c r="C39" s="414" t="s">
        <v>39</v>
      </c>
      <c r="D39" s="415">
        <v>30370354</v>
      </c>
      <c r="E39" s="416" t="s">
        <v>757</v>
      </c>
      <c r="F39" s="417" t="s">
        <v>60</v>
      </c>
      <c r="G39" s="416" t="s">
        <v>730</v>
      </c>
      <c r="H39" s="414" t="s">
        <v>731</v>
      </c>
      <c r="I39" s="414" t="s">
        <v>57</v>
      </c>
      <c r="J39" s="418">
        <v>28164</v>
      </c>
      <c r="K39" s="418">
        <v>20768</v>
      </c>
      <c r="L39" s="418">
        <v>0</v>
      </c>
      <c r="M39" s="419">
        <v>0</v>
      </c>
      <c r="N39" s="419">
        <v>0</v>
      </c>
      <c r="O39" s="419">
        <v>1908.09</v>
      </c>
      <c r="P39" s="419"/>
      <c r="Q39" s="419"/>
      <c r="R39" s="419"/>
      <c r="S39" s="419"/>
      <c r="T39" s="419"/>
      <c r="U39" s="419"/>
      <c r="V39" s="419"/>
      <c r="W39" s="419"/>
      <c r="X39" s="419"/>
      <c r="Y39" s="419">
        <f t="shared" si="2"/>
        <v>1908.09</v>
      </c>
      <c r="Z39" s="419">
        <v>1909</v>
      </c>
      <c r="AA39" s="415">
        <v>12</v>
      </c>
      <c r="AB39" s="420">
        <v>44245</v>
      </c>
      <c r="AC39" s="420">
        <v>44266</v>
      </c>
      <c r="AD39" s="421"/>
      <c r="AE39" s="415"/>
      <c r="AF39" s="420"/>
      <c r="AG39" s="420"/>
      <c r="AH39" s="421"/>
      <c r="AI39" s="415"/>
      <c r="AJ39" s="420"/>
      <c r="AK39" s="420"/>
      <c r="AL39" s="421"/>
      <c r="AM39" s="415"/>
      <c r="AN39" s="420"/>
      <c r="AO39" s="420"/>
      <c r="AP39" s="421"/>
      <c r="AQ39" s="415"/>
      <c r="AR39" s="420"/>
      <c r="AS39" s="420"/>
      <c r="AT39" s="177">
        <f t="shared" si="0"/>
        <v>1909</v>
      </c>
      <c r="AU39" s="178">
        <f t="shared" si="1"/>
        <v>0.91000000000008185</v>
      </c>
    </row>
    <row r="40" spans="2:47" x14ac:dyDescent="0.25">
      <c r="B40" s="414">
        <v>25</v>
      </c>
      <c r="C40" s="414" t="s">
        <v>39</v>
      </c>
      <c r="D40" s="415">
        <v>30373727</v>
      </c>
      <c r="E40" s="416" t="s">
        <v>758</v>
      </c>
      <c r="F40" s="417" t="s">
        <v>603</v>
      </c>
      <c r="G40" s="416" t="s">
        <v>730</v>
      </c>
      <c r="H40" s="414" t="s">
        <v>731</v>
      </c>
      <c r="I40" s="414" t="s">
        <v>57</v>
      </c>
      <c r="J40" s="418">
        <v>1117578</v>
      </c>
      <c r="K40" s="418">
        <v>574453</v>
      </c>
      <c r="L40" s="418">
        <v>0</v>
      </c>
      <c r="M40" s="419">
        <v>0</v>
      </c>
      <c r="N40" s="419">
        <v>0</v>
      </c>
      <c r="O40" s="419">
        <v>51000</v>
      </c>
      <c r="P40" s="419"/>
      <c r="Q40" s="419"/>
      <c r="R40" s="419"/>
      <c r="S40" s="419"/>
      <c r="T40" s="419"/>
      <c r="U40" s="419"/>
      <c r="V40" s="419"/>
      <c r="W40" s="419"/>
      <c r="X40" s="419"/>
      <c r="Y40" s="419">
        <f t="shared" si="2"/>
        <v>51000</v>
      </c>
      <c r="Z40" s="419">
        <v>531174</v>
      </c>
      <c r="AA40" s="415">
        <v>13</v>
      </c>
      <c r="AB40" s="420">
        <v>44245</v>
      </c>
      <c r="AC40" s="420">
        <v>44267</v>
      </c>
      <c r="AD40" s="421"/>
      <c r="AE40" s="415"/>
      <c r="AF40" s="420"/>
      <c r="AG40" s="420"/>
      <c r="AH40" s="421"/>
      <c r="AI40" s="415"/>
      <c r="AJ40" s="420"/>
      <c r="AK40" s="420"/>
      <c r="AL40" s="421"/>
      <c r="AM40" s="415"/>
      <c r="AN40" s="420"/>
      <c r="AO40" s="420"/>
      <c r="AP40" s="421"/>
      <c r="AQ40" s="415"/>
      <c r="AR40" s="420"/>
      <c r="AS40" s="420"/>
      <c r="AT40" s="177">
        <f t="shared" si="0"/>
        <v>531174</v>
      </c>
      <c r="AU40" s="178">
        <f t="shared" si="1"/>
        <v>480174</v>
      </c>
    </row>
    <row r="41" spans="2:47" x14ac:dyDescent="0.25">
      <c r="B41" s="414">
        <v>26</v>
      </c>
      <c r="C41" s="414" t="s">
        <v>39</v>
      </c>
      <c r="D41" s="415">
        <v>30422833</v>
      </c>
      <c r="E41" s="416" t="s">
        <v>759</v>
      </c>
      <c r="F41" s="417" t="s">
        <v>729</v>
      </c>
      <c r="G41" s="416" t="s">
        <v>730</v>
      </c>
      <c r="H41" s="414" t="s">
        <v>731</v>
      </c>
      <c r="I41" s="414" t="s">
        <v>57</v>
      </c>
      <c r="J41" s="418">
        <v>247003</v>
      </c>
      <c r="K41" s="418">
        <v>218971</v>
      </c>
      <c r="L41" s="418">
        <v>0</v>
      </c>
      <c r="M41" s="419">
        <v>0</v>
      </c>
      <c r="N41" s="419">
        <v>0</v>
      </c>
      <c r="O41" s="419">
        <v>0</v>
      </c>
      <c r="P41" s="419"/>
      <c r="Q41" s="419"/>
      <c r="R41" s="419"/>
      <c r="S41" s="419"/>
      <c r="T41" s="419"/>
      <c r="U41" s="419"/>
      <c r="V41" s="419"/>
      <c r="W41" s="419"/>
      <c r="X41" s="419"/>
      <c r="Y41" s="419">
        <f t="shared" si="2"/>
        <v>0</v>
      </c>
      <c r="Z41" s="419">
        <v>13562</v>
      </c>
      <c r="AA41" s="415">
        <v>13</v>
      </c>
      <c r="AB41" s="420">
        <v>44245</v>
      </c>
      <c r="AC41" s="420">
        <v>44267</v>
      </c>
      <c r="AD41" s="421"/>
      <c r="AE41" s="415"/>
      <c r="AF41" s="420"/>
      <c r="AG41" s="420"/>
      <c r="AH41" s="421"/>
      <c r="AI41" s="415"/>
      <c r="AJ41" s="420"/>
      <c r="AK41" s="420"/>
      <c r="AL41" s="421"/>
      <c r="AM41" s="415"/>
      <c r="AN41" s="420"/>
      <c r="AO41" s="420"/>
      <c r="AP41" s="421"/>
      <c r="AQ41" s="415"/>
      <c r="AR41" s="420"/>
      <c r="AS41" s="420"/>
      <c r="AT41" s="177">
        <f t="shared" si="0"/>
        <v>13562</v>
      </c>
      <c r="AU41" s="178">
        <f t="shared" si="1"/>
        <v>13562</v>
      </c>
    </row>
    <row r="42" spans="2:47" x14ac:dyDescent="0.25">
      <c r="B42" s="414">
        <v>27</v>
      </c>
      <c r="C42" s="414" t="s">
        <v>39</v>
      </c>
      <c r="D42" s="415">
        <v>30457423</v>
      </c>
      <c r="E42" s="416" t="s">
        <v>760</v>
      </c>
      <c r="F42" s="417" t="s">
        <v>754</v>
      </c>
      <c r="G42" s="416" t="s">
        <v>730</v>
      </c>
      <c r="H42" s="414" t="s">
        <v>731</v>
      </c>
      <c r="I42" s="414" t="s">
        <v>57</v>
      </c>
      <c r="J42" s="418">
        <v>988516</v>
      </c>
      <c r="K42" s="418">
        <v>432461</v>
      </c>
      <c r="L42" s="418">
        <v>0</v>
      </c>
      <c r="M42" s="419">
        <v>0</v>
      </c>
      <c r="N42" s="419">
        <v>48131.919000000002</v>
      </c>
      <c r="O42" s="419">
        <v>113523.07</v>
      </c>
      <c r="P42" s="419"/>
      <c r="Q42" s="419"/>
      <c r="R42" s="419"/>
      <c r="S42" s="419"/>
      <c r="T42" s="419"/>
      <c r="U42" s="419"/>
      <c r="V42" s="419"/>
      <c r="W42" s="419"/>
      <c r="X42" s="419"/>
      <c r="Y42" s="419">
        <f t="shared" si="2"/>
        <v>161654.989</v>
      </c>
      <c r="Z42" s="419">
        <v>480073</v>
      </c>
      <c r="AA42" s="415">
        <v>11</v>
      </c>
      <c r="AB42" s="420">
        <v>44245</v>
      </c>
      <c r="AC42" s="420">
        <v>44258</v>
      </c>
      <c r="AD42" s="421"/>
      <c r="AE42" s="415"/>
      <c r="AF42" s="420"/>
      <c r="AG42" s="420"/>
      <c r="AH42" s="421"/>
      <c r="AI42" s="415"/>
      <c r="AJ42" s="420"/>
      <c r="AK42" s="420"/>
      <c r="AL42" s="421"/>
      <c r="AM42" s="415"/>
      <c r="AN42" s="420"/>
      <c r="AO42" s="420"/>
      <c r="AP42" s="421"/>
      <c r="AQ42" s="415"/>
      <c r="AR42" s="420"/>
      <c r="AS42" s="420"/>
      <c r="AT42" s="177">
        <f t="shared" si="0"/>
        <v>480073</v>
      </c>
      <c r="AU42" s="178">
        <f t="shared" si="1"/>
        <v>318418.011</v>
      </c>
    </row>
    <row r="43" spans="2:47" x14ac:dyDescent="0.25">
      <c r="B43" s="414">
        <v>28</v>
      </c>
      <c r="C43" s="414" t="s">
        <v>39</v>
      </c>
      <c r="D43" s="415">
        <v>30464744</v>
      </c>
      <c r="E43" s="416" t="s">
        <v>761</v>
      </c>
      <c r="F43" s="417" t="s">
        <v>60</v>
      </c>
      <c r="G43" s="416" t="s">
        <v>730</v>
      </c>
      <c r="H43" s="414" t="s">
        <v>731</v>
      </c>
      <c r="I43" s="414" t="s">
        <v>57</v>
      </c>
      <c r="J43" s="418">
        <v>53283</v>
      </c>
      <c r="K43" s="418">
        <v>22016</v>
      </c>
      <c r="L43" s="418">
        <v>0</v>
      </c>
      <c r="M43" s="419">
        <v>0</v>
      </c>
      <c r="N43" s="419">
        <v>0</v>
      </c>
      <c r="O43" s="419">
        <v>0</v>
      </c>
      <c r="P43" s="419"/>
      <c r="Q43" s="419"/>
      <c r="R43" s="419"/>
      <c r="S43" s="419"/>
      <c r="T43" s="419"/>
      <c r="U43" s="419"/>
      <c r="V43" s="419"/>
      <c r="W43" s="419"/>
      <c r="X43" s="419"/>
      <c r="Y43" s="419">
        <f t="shared" si="2"/>
        <v>0</v>
      </c>
      <c r="Z43" s="419">
        <v>28122</v>
      </c>
      <c r="AA43" s="415">
        <v>15</v>
      </c>
      <c r="AB43" s="420">
        <v>44251</v>
      </c>
      <c r="AC43" s="420">
        <v>44267</v>
      </c>
      <c r="AD43" s="421"/>
      <c r="AE43" s="415"/>
      <c r="AF43" s="420"/>
      <c r="AG43" s="420"/>
      <c r="AH43" s="421"/>
      <c r="AI43" s="415"/>
      <c r="AJ43" s="420"/>
      <c r="AK43" s="420"/>
      <c r="AL43" s="421"/>
      <c r="AM43" s="415"/>
      <c r="AN43" s="420"/>
      <c r="AO43" s="420"/>
      <c r="AP43" s="421"/>
      <c r="AQ43" s="415"/>
      <c r="AR43" s="420"/>
      <c r="AS43" s="420"/>
      <c r="AT43" s="177">
        <f t="shared" si="0"/>
        <v>28122</v>
      </c>
      <c r="AU43" s="178">
        <f t="shared" si="1"/>
        <v>28122</v>
      </c>
    </row>
    <row r="44" spans="2:47" x14ac:dyDescent="0.25">
      <c r="B44" s="414">
        <v>29</v>
      </c>
      <c r="C44" s="414" t="s">
        <v>39</v>
      </c>
      <c r="D44" s="415">
        <v>30476884</v>
      </c>
      <c r="E44" s="416" t="s">
        <v>762</v>
      </c>
      <c r="F44" s="417" t="s">
        <v>603</v>
      </c>
      <c r="G44" s="416" t="s">
        <v>730</v>
      </c>
      <c r="H44" s="414" t="s">
        <v>731</v>
      </c>
      <c r="I44" s="414" t="s">
        <v>72</v>
      </c>
      <c r="J44" s="418">
        <v>15166755</v>
      </c>
      <c r="K44" s="418">
        <v>2387</v>
      </c>
      <c r="L44" s="418">
        <v>4663854</v>
      </c>
      <c r="M44" s="419">
        <v>0</v>
      </c>
      <c r="N44" s="419">
        <v>0</v>
      </c>
      <c r="O44" s="419">
        <v>0</v>
      </c>
      <c r="P44" s="419"/>
      <c r="Q44" s="419"/>
      <c r="R44" s="419"/>
      <c r="S44" s="419"/>
      <c r="T44" s="419"/>
      <c r="U44" s="419"/>
      <c r="V44" s="419"/>
      <c r="W44" s="419"/>
      <c r="X44" s="419"/>
      <c r="Y44" s="419">
        <f t="shared" si="2"/>
        <v>0</v>
      </c>
      <c r="Z44" s="419">
        <v>300876</v>
      </c>
      <c r="AA44" s="415">
        <v>13</v>
      </c>
      <c r="AB44" s="420">
        <v>44245</v>
      </c>
      <c r="AC44" s="420">
        <v>44267</v>
      </c>
      <c r="AD44" s="421"/>
      <c r="AE44" s="415"/>
      <c r="AF44" s="420"/>
      <c r="AG44" s="420"/>
      <c r="AH44" s="421"/>
      <c r="AI44" s="415"/>
      <c r="AJ44" s="420"/>
      <c r="AK44" s="420"/>
      <c r="AL44" s="421"/>
      <c r="AM44" s="415"/>
      <c r="AN44" s="420"/>
      <c r="AO44" s="420"/>
      <c r="AP44" s="421"/>
      <c r="AQ44" s="415"/>
      <c r="AR44" s="420"/>
      <c r="AS44" s="420"/>
      <c r="AT44" s="177">
        <f t="shared" si="0"/>
        <v>300876</v>
      </c>
      <c r="AU44" s="178">
        <f t="shared" si="1"/>
        <v>300876</v>
      </c>
    </row>
    <row r="45" spans="2:47" x14ac:dyDescent="0.25">
      <c r="B45" s="414">
        <v>30</v>
      </c>
      <c r="C45" s="414" t="s">
        <v>39</v>
      </c>
      <c r="D45" s="415">
        <v>30478986</v>
      </c>
      <c r="E45" s="416" t="s">
        <v>763</v>
      </c>
      <c r="F45" s="417" t="s">
        <v>729</v>
      </c>
      <c r="G45" s="416" t="s">
        <v>730</v>
      </c>
      <c r="H45" s="414" t="s">
        <v>731</v>
      </c>
      <c r="I45" s="414" t="s">
        <v>57</v>
      </c>
      <c r="J45" s="418">
        <v>2111549</v>
      </c>
      <c r="K45" s="418">
        <v>2086039</v>
      </c>
      <c r="L45" s="418">
        <v>0</v>
      </c>
      <c r="M45" s="419">
        <v>0</v>
      </c>
      <c r="N45" s="419">
        <v>0</v>
      </c>
      <c r="O45" s="419">
        <v>0</v>
      </c>
      <c r="P45" s="419"/>
      <c r="Q45" s="419"/>
      <c r="R45" s="419"/>
      <c r="S45" s="419"/>
      <c r="T45" s="419"/>
      <c r="U45" s="419"/>
      <c r="V45" s="419"/>
      <c r="W45" s="419"/>
      <c r="X45" s="419"/>
      <c r="Y45" s="419">
        <f t="shared" si="2"/>
        <v>0</v>
      </c>
      <c r="Z45" s="419">
        <v>15080</v>
      </c>
      <c r="AA45" s="415">
        <v>13</v>
      </c>
      <c r="AB45" s="420">
        <v>44245</v>
      </c>
      <c r="AC45" s="420">
        <v>44267</v>
      </c>
      <c r="AD45" s="421"/>
      <c r="AE45" s="415"/>
      <c r="AF45" s="420"/>
      <c r="AG45" s="420"/>
      <c r="AH45" s="421"/>
      <c r="AI45" s="415"/>
      <c r="AJ45" s="420"/>
      <c r="AK45" s="420"/>
      <c r="AL45" s="421"/>
      <c r="AM45" s="415"/>
      <c r="AN45" s="420"/>
      <c r="AO45" s="420"/>
      <c r="AP45" s="421"/>
      <c r="AQ45" s="415"/>
      <c r="AR45" s="420"/>
      <c r="AS45" s="420"/>
      <c r="AT45" s="177">
        <f t="shared" si="0"/>
        <v>15080</v>
      </c>
      <c r="AU45" s="178">
        <f t="shared" si="1"/>
        <v>15080</v>
      </c>
    </row>
    <row r="46" spans="2:47" x14ac:dyDescent="0.25">
      <c r="B46" s="414">
        <v>31</v>
      </c>
      <c r="C46" s="414" t="s">
        <v>39</v>
      </c>
      <c r="D46" s="415">
        <v>30480676</v>
      </c>
      <c r="E46" s="416" t="s">
        <v>764</v>
      </c>
      <c r="F46" s="417" t="s">
        <v>366</v>
      </c>
      <c r="G46" s="416" t="s">
        <v>730</v>
      </c>
      <c r="H46" s="414" t="s">
        <v>731</v>
      </c>
      <c r="I46" s="414" t="s">
        <v>57</v>
      </c>
      <c r="J46" s="418">
        <v>761177</v>
      </c>
      <c r="K46" s="418">
        <v>294026</v>
      </c>
      <c r="L46" s="418">
        <v>0</v>
      </c>
      <c r="M46" s="419">
        <v>0</v>
      </c>
      <c r="N46" s="419">
        <v>0</v>
      </c>
      <c r="O46" s="419">
        <v>0</v>
      </c>
      <c r="P46" s="419"/>
      <c r="Q46" s="419"/>
      <c r="R46" s="419"/>
      <c r="S46" s="419"/>
      <c r="T46" s="419"/>
      <c r="U46" s="419"/>
      <c r="V46" s="419"/>
      <c r="W46" s="419"/>
      <c r="X46" s="419"/>
      <c r="Y46" s="419">
        <f t="shared" si="2"/>
        <v>0</v>
      </c>
      <c r="Z46" s="419">
        <v>1</v>
      </c>
      <c r="AA46" s="415">
        <v>15</v>
      </c>
      <c r="AB46" s="420">
        <v>44251</v>
      </c>
      <c r="AC46" s="420">
        <v>44267</v>
      </c>
      <c r="AD46" s="421"/>
      <c r="AE46" s="415"/>
      <c r="AF46" s="420"/>
      <c r="AG46" s="420"/>
      <c r="AH46" s="421"/>
      <c r="AI46" s="415"/>
      <c r="AJ46" s="420"/>
      <c r="AK46" s="420"/>
      <c r="AL46" s="421"/>
      <c r="AM46" s="415"/>
      <c r="AN46" s="420"/>
      <c r="AO46" s="420"/>
      <c r="AP46" s="421"/>
      <c r="AQ46" s="415"/>
      <c r="AR46" s="420"/>
      <c r="AS46" s="420"/>
      <c r="AT46" s="177">
        <f t="shared" si="0"/>
        <v>1</v>
      </c>
      <c r="AU46" s="178">
        <f t="shared" si="1"/>
        <v>1</v>
      </c>
    </row>
    <row r="47" spans="2:47" x14ac:dyDescent="0.25">
      <c r="B47" s="414">
        <v>32</v>
      </c>
      <c r="C47" s="414" t="s">
        <v>39</v>
      </c>
      <c r="D47" s="415">
        <v>30483609</v>
      </c>
      <c r="E47" s="416" t="s">
        <v>765</v>
      </c>
      <c r="F47" s="417" t="s">
        <v>766</v>
      </c>
      <c r="G47" s="416" t="s">
        <v>730</v>
      </c>
      <c r="H47" s="414" t="s">
        <v>731</v>
      </c>
      <c r="I47" s="414" t="s">
        <v>57</v>
      </c>
      <c r="J47" s="418">
        <v>271020</v>
      </c>
      <c r="K47" s="418">
        <v>186332</v>
      </c>
      <c r="L47" s="418">
        <v>0</v>
      </c>
      <c r="M47" s="419">
        <v>0</v>
      </c>
      <c r="N47" s="419">
        <v>0</v>
      </c>
      <c r="O47" s="419">
        <v>0</v>
      </c>
      <c r="P47" s="419"/>
      <c r="Q47" s="419"/>
      <c r="R47" s="419"/>
      <c r="S47" s="419"/>
      <c r="T47" s="419"/>
      <c r="U47" s="419"/>
      <c r="V47" s="419"/>
      <c r="W47" s="419"/>
      <c r="X47" s="419"/>
      <c r="Y47" s="419">
        <f t="shared" si="2"/>
        <v>0</v>
      </c>
      <c r="Z47" s="419">
        <v>15932</v>
      </c>
      <c r="AA47" s="415">
        <v>11</v>
      </c>
      <c r="AB47" s="420">
        <v>44245</v>
      </c>
      <c r="AC47" s="420">
        <v>44258</v>
      </c>
      <c r="AD47" s="421"/>
      <c r="AE47" s="415"/>
      <c r="AF47" s="420"/>
      <c r="AG47" s="420"/>
      <c r="AH47" s="421"/>
      <c r="AI47" s="415"/>
      <c r="AJ47" s="420"/>
      <c r="AK47" s="420"/>
      <c r="AL47" s="421"/>
      <c r="AM47" s="415"/>
      <c r="AN47" s="420"/>
      <c r="AO47" s="420"/>
      <c r="AP47" s="421"/>
      <c r="AQ47" s="415"/>
      <c r="AR47" s="420"/>
      <c r="AS47" s="420"/>
      <c r="AT47" s="177">
        <f t="shared" si="0"/>
        <v>15932</v>
      </c>
      <c r="AU47" s="178">
        <f t="shared" si="1"/>
        <v>15932</v>
      </c>
    </row>
    <row r="48" spans="2:47" x14ac:dyDescent="0.25">
      <c r="B48" s="414">
        <v>33</v>
      </c>
      <c r="C48" s="414" t="s">
        <v>39</v>
      </c>
      <c r="D48" s="415">
        <v>30484949</v>
      </c>
      <c r="E48" s="416" t="s">
        <v>767</v>
      </c>
      <c r="F48" s="417" t="s">
        <v>60</v>
      </c>
      <c r="G48" s="416" t="s">
        <v>730</v>
      </c>
      <c r="H48" s="414" t="s">
        <v>731</v>
      </c>
      <c r="I48" s="414" t="s">
        <v>57</v>
      </c>
      <c r="J48" s="418">
        <v>50742</v>
      </c>
      <c r="K48" s="418">
        <v>35405</v>
      </c>
      <c r="L48" s="418">
        <v>0</v>
      </c>
      <c r="M48" s="419">
        <v>0</v>
      </c>
      <c r="N48" s="419">
        <v>0</v>
      </c>
      <c r="O48" s="419">
        <v>0</v>
      </c>
      <c r="P48" s="419"/>
      <c r="Q48" s="419"/>
      <c r="R48" s="419"/>
      <c r="S48" s="419"/>
      <c r="T48" s="419"/>
      <c r="U48" s="419"/>
      <c r="V48" s="419"/>
      <c r="W48" s="419"/>
      <c r="X48" s="419"/>
      <c r="Y48" s="419">
        <f t="shared" si="2"/>
        <v>0</v>
      </c>
      <c r="Z48" s="419">
        <v>14400</v>
      </c>
      <c r="AA48" s="415">
        <v>12</v>
      </c>
      <c r="AB48" s="420">
        <v>44245</v>
      </c>
      <c r="AC48" s="420">
        <v>44266</v>
      </c>
      <c r="AD48" s="421"/>
      <c r="AE48" s="415"/>
      <c r="AF48" s="420"/>
      <c r="AG48" s="420"/>
      <c r="AH48" s="421"/>
      <c r="AI48" s="415"/>
      <c r="AJ48" s="420"/>
      <c r="AK48" s="420"/>
      <c r="AL48" s="421"/>
      <c r="AM48" s="415"/>
      <c r="AN48" s="420"/>
      <c r="AO48" s="420"/>
      <c r="AP48" s="421"/>
      <c r="AQ48" s="415"/>
      <c r="AR48" s="420"/>
      <c r="AS48" s="420"/>
      <c r="AT48" s="177">
        <f t="shared" si="0"/>
        <v>14400</v>
      </c>
      <c r="AU48" s="178">
        <f t="shared" si="1"/>
        <v>14400</v>
      </c>
    </row>
    <row r="49" spans="2:47" x14ac:dyDescent="0.25">
      <c r="B49" s="414">
        <v>34</v>
      </c>
      <c r="C49" s="414" t="s">
        <v>39</v>
      </c>
      <c r="D49" s="415">
        <v>30485271</v>
      </c>
      <c r="E49" s="416" t="s">
        <v>768</v>
      </c>
      <c r="F49" s="417" t="s">
        <v>729</v>
      </c>
      <c r="G49" s="416" t="s">
        <v>730</v>
      </c>
      <c r="H49" s="414" t="s">
        <v>731</v>
      </c>
      <c r="I49" s="414" t="s">
        <v>57</v>
      </c>
      <c r="J49" s="418">
        <v>904391</v>
      </c>
      <c r="K49" s="418">
        <v>599582</v>
      </c>
      <c r="L49" s="418">
        <v>0</v>
      </c>
      <c r="M49" s="419">
        <v>0</v>
      </c>
      <c r="N49" s="419">
        <v>72584.612999999998</v>
      </c>
      <c r="O49" s="419">
        <v>70116.816999999995</v>
      </c>
      <c r="P49" s="419"/>
      <c r="Q49" s="419"/>
      <c r="R49" s="419"/>
      <c r="S49" s="419"/>
      <c r="T49" s="419"/>
      <c r="U49" s="419"/>
      <c r="V49" s="419"/>
      <c r="W49" s="419"/>
      <c r="X49" s="419"/>
      <c r="Y49" s="419">
        <f t="shared" si="2"/>
        <v>142701.43</v>
      </c>
      <c r="Z49" s="419">
        <v>252870</v>
      </c>
      <c r="AA49" s="415">
        <v>11</v>
      </c>
      <c r="AB49" s="420">
        <v>44245</v>
      </c>
      <c r="AC49" s="420">
        <v>44258</v>
      </c>
      <c r="AD49" s="421"/>
      <c r="AE49" s="415"/>
      <c r="AF49" s="420"/>
      <c r="AG49" s="420"/>
      <c r="AH49" s="421"/>
      <c r="AI49" s="415"/>
      <c r="AJ49" s="420"/>
      <c r="AK49" s="420"/>
      <c r="AL49" s="421"/>
      <c r="AM49" s="415"/>
      <c r="AN49" s="420"/>
      <c r="AO49" s="420"/>
      <c r="AP49" s="421"/>
      <c r="AQ49" s="415"/>
      <c r="AR49" s="420"/>
      <c r="AS49" s="420"/>
      <c r="AT49" s="177">
        <f t="shared" si="0"/>
        <v>252870</v>
      </c>
      <c r="AU49" s="178">
        <f t="shared" si="1"/>
        <v>110168.57</v>
      </c>
    </row>
    <row r="50" spans="2:47" x14ac:dyDescent="0.25">
      <c r="B50" s="414">
        <v>35</v>
      </c>
      <c r="C50" s="414" t="s">
        <v>39</v>
      </c>
      <c r="D50" s="415">
        <v>40000979</v>
      </c>
      <c r="E50" s="416" t="s">
        <v>769</v>
      </c>
      <c r="F50" s="417" t="s">
        <v>729</v>
      </c>
      <c r="G50" s="416" t="s">
        <v>730</v>
      </c>
      <c r="H50" s="414" t="s">
        <v>731</v>
      </c>
      <c r="I50" s="414" t="s">
        <v>72</v>
      </c>
      <c r="J50" s="418">
        <v>3612481</v>
      </c>
      <c r="K50" s="418">
        <v>9378</v>
      </c>
      <c r="L50" s="418">
        <v>273484</v>
      </c>
      <c r="M50" s="419">
        <v>0</v>
      </c>
      <c r="N50" s="419">
        <v>0</v>
      </c>
      <c r="O50" s="419">
        <v>0</v>
      </c>
      <c r="P50" s="419"/>
      <c r="Q50" s="419"/>
      <c r="R50" s="419"/>
      <c r="S50" s="419"/>
      <c r="T50" s="419"/>
      <c r="U50" s="419"/>
      <c r="V50" s="419"/>
      <c r="W50" s="419"/>
      <c r="X50" s="419"/>
      <c r="Y50" s="419">
        <f t="shared" si="2"/>
        <v>0</v>
      </c>
      <c r="Z50" s="419">
        <v>230000</v>
      </c>
      <c r="AA50" s="415">
        <v>7</v>
      </c>
      <c r="AB50" s="420">
        <v>44223</v>
      </c>
      <c r="AC50" s="420">
        <v>44244</v>
      </c>
      <c r="AD50" s="421"/>
      <c r="AE50" s="415"/>
      <c r="AF50" s="420"/>
      <c r="AG50" s="420"/>
      <c r="AH50" s="421"/>
      <c r="AI50" s="415"/>
      <c r="AJ50" s="420"/>
      <c r="AK50" s="420"/>
      <c r="AL50" s="421"/>
      <c r="AM50" s="415"/>
      <c r="AN50" s="420"/>
      <c r="AO50" s="420"/>
      <c r="AP50" s="421"/>
      <c r="AQ50" s="415"/>
      <c r="AR50" s="420"/>
      <c r="AS50" s="420"/>
      <c r="AT50" s="177">
        <f t="shared" si="0"/>
        <v>230000</v>
      </c>
      <c r="AU50" s="178">
        <f t="shared" si="1"/>
        <v>230000</v>
      </c>
    </row>
    <row r="51" spans="2:47" x14ac:dyDescent="0.25">
      <c r="B51" s="414">
        <v>36</v>
      </c>
      <c r="C51" s="414" t="s">
        <v>39</v>
      </c>
      <c r="D51" s="415">
        <v>40001774</v>
      </c>
      <c r="E51" s="416" t="s">
        <v>770</v>
      </c>
      <c r="F51" s="417" t="s">
        <v>729</v>
      </c>
      <c r="G51" s="416" t="s">
        <v>730</v>
      </c>
      <c r="H51" s="414" t="s">
        <v>731</v>
      </c>
      <c r="I51" s="414" t="s">
        <v>57</v>
      </c>
      <c r="J51" s="418">
        <v>480225</v>
      </c>
      <c r="K51" s="418">
        <v>441633</v>
      </c>
      <c r="L51" s="418">
        <v>0</v>
      </c>
      <c r="M51" s="419">
        <v>0</v>
      </c>
      <c r="N51" s="419">
        <v>0</v>
      </c>
      <c r="O51" s="419">
        <v>2950</v>
      </c>
      <c r="P51" s="419"/>
      <c r="Q51" s="419"/>
      <c r="R51" s="419"/>
      <c r="S51" s="419"/>
      <c r="T51" s="419"/>
      <c r="U51" s="419"/>
      <c r="V51" s="419"/>
      <c r="W51" s="419"/>
      <c r="X51" s="419"/>
      <c r="Y51" s="419">
        <f t="shared" si="2"/>
        <v>2950</v>
      </c>
      <c r="Z51" s="419">
        <v>2950</v>
      </c>
      <c r="AA51" s="415">
        <v>12</v>
      </c>
      <c r="AB51" s="420">
        <v>44245</v>
      </c>
      <c r="AC51" s="420">
        <v>44266</v>
      </c>
      <c r="AD51" s="421"/>
      <c r="AE51" s="415"/>
      <c r="AF51" s="420"/>
      <c r="AG51" s="420"/>
      <c r="AH51" s="421"/>
      <c r="AI51" s="415"/>
      <c r="AJ51" s="420"/>
      <c r="AK51" s="420"/>
      <c r="AL51" s="421"/>
      <c r="AM51" s="415"/>
      <c r="AN51" s="420"/>
      <c r="AO51" s="420"/>
      <c r="AP51" s="421"/>
      <c r="AQ51" s="415"/>
      <c r="AR51" s="420"/>
      <c r="AS51" s="420"/>
      <c r="AT51" s="177">
        <f t="shared" si="0"/>
        <v>2950</v>
      </c>
      <c r="AU51" s="178">
        <f t="shared" si="1"/>
        <v>0</v>
      </c>
    </row>
    <row r="52" spans="2:47" x14ac:dyDescent="0.25">
      <c r="B52" s="414">
        <v>37</v>
      </c>
      <c r="C52" s="414" t="s">
        <v>39</v>
      </c>
      <c r="D52" s="415">
        <v>40002064</v>
      </c>
      <c r="E52" s="416" t="s">
        <v>771</v>
      </c>
      <c r="F52" s="417" t="s">
        <v>60</v>
      </c>
      <c r="G52" s="416" t="s">
        <v>730</v>
      </c>
      <c r="H52" s="414" t="s">
        <v>731</v>
      </c>
      <c r="I52" s="414" t="s">
        <v>57</v>
      </c>
      <c r="J52" s="418">
        <v>87110</v>
      </c>
      <c r="K52" s="418">
        <v>45031</v>
      </c>
      <c r="L52" s="418">
        <v>0</v>
      </c>
      <c r="M52" s="419">
        <v>0</v>
      </c>
      <c r="N52" s="419">
        <v>0</v>
      </c>
      <c r="O52" s="419">
        <v>0</v>
      </c>
      <c r="P52" s="419"/>
      <c r="Q52" s="419"/>
      <c r="R52" s="419"/>
      <c r="S52" s="419"/>
      <c r="T52" s="419"/>
      <c r="U52" s="419"/>
      <c r="V52" s="419"/>
      <c r="W52" s="419"/>
      <c r="X52" s="419"/>
      <c r="Y52" s="419">
        <f t="shared" si="2"/>
        <v>0</v>
      </c>
      <c r="Z52" s="419">
        <v>18435</v>
      </c>
      <c r="AA52" s="415">
        <v>12</v>
      </c>
      <c r="AB52" s="420">
        <v>44245</v>
      </c>
      <c r="AC52" s="420">
        <v>44266</v>
      </c>
      <c r="AD52" s="421"/>
      <c r="AE52" s="415"/>
      <c r="AF52" s="420"/>
      <c r="AG52" s="420"/>
      <c r="AH52" s="421"/>
      <c r="AI52" s="415"/>
      <c r="AJ52" s="420"/>
      <c r="AK52" s="420"/>
      <c r="AL52" s="421"/>
      <c r="AM52" s="415"/>
      <c r="AN52" s="420"/>
      <c r="AO52" s="420"/>
      <c r="AP52" s="421"/>
      <c r="AQ52" s="415"/>
      <c r="AR52" s="420"/>
      <c r="AS52" s="420"/>
      <c r="AT52" s="177">
        <f t="shared" si="0"/>
        <v>18435</v>
      </c>
      <c r="AU52" s="178">
        <f t="shared" si="1"/>
        <v>18435</v>
      </c>
    </row>
    <row r="53" spans="2:47" x14ac:dyDescent="0.25">
      <c r="B53" s="414">
        <v>38</v>
      </c>
      <c r="C53" s="414" t="s">
        <v>39</v>
      </c>
      <c r="D53" s="415">
        <v>40003168</v>
      </c>
      <c r="E53" s="416" t="s">
        <v>772</v>
      </c>
      <c r="F53" s="417" t="s">
        <v>603</v>
      </c>
      <c r="G53" s="416" t="s">
        <v>730</v>
      </c>
      <c r="H53" s="414" t="s">
        <v>773</v>
      </c>
      <c r="I53" s="414" t="s">
        <v>72</v>
      </c>
      <c r="J53" s="418">
        <v>2149554</v>
      </c>
      <c r="K53" s="418">
        <v>0</v>
      </c>
      <c r="L53" s="418">
        <v>0</v>
      </c>
      <c r="M53" s="419">
        <v>0</v>
      </c>
      <c r="N53" s="419">
        <v>0</v>
      </c>
      <c r="O53" s="419">
        <v>0</v>
      </c>
      <c r="P53" s="419"/>
      <c r="Q53" s="419"/>
      <c r="R53" s="419"/>
      <c r="S53" s="419"/>
      <c r="T53" s="419"/>
      <c r="U53" s="419"/>
      <c r="V53" s="419"/>
      <c r="W53" s="419"/>
      <c r="X53" s="419"/>
      <c r="Y53" s="419">
        <f t="shared" si="2"/>
        <v>0</v>
      </c>
      <c r="Z53" s="419">
        <v>619845</v>
      </c>
      <c r="AA53" s="415">
        <v>8</v>
      </c>
      <c r="AB53" s="420">
        <v>44223</v>
      </c>
      <c r="AC53" s="420">
        <v>44237</v>
      </c>
      <c r="AD53" s="421"/>
      <c r="AE53" s="415"/>
      <c r="AF53" s="420"/>
      <c r="AG53" s="420"/>
      <c r="AH53" s="421"/>
      <c r="AI53" s="415"/>
      <c r="AJ53" s="420"/>
      <c r="AK53" s="420"/>
      <c r="AL53" s="421"/>
      <c r="AM53" s="415"/>
      <c r="AN53" s="420"/>
      <c r="AO53" s="420"/>
      <c r="AP53" s="421"/>
      <c r="AQ53" s="415"/>
      <c r="AR53" s="420"/>
      <c r="AS53" s="420"/>
      <c r="AT53" s="177">
        <f t="shared" si="0"/>
        <v>619845</v>
      </c>
      <c r="AU53" s="178">
        <f t="shared" si="1"/>
        <v>619845</v>
      </c>
    </row>
    <row r="54" spans="2:47" x14ac:dyDescent="0.25">
      <c r="B54" s="414">
        <v>39</v>
      </c>
      <c r="C54" s="414" t="s">
        <v>39</v>
      </c>
      <c r="D54" s="415">
        <v>40010116</v>
      </c>
      <c r="E54" s="416" t="s">
        <v>774</v>
      </c>
      <c r="F54" s="417" t="s">
        <v>775</v>
      </c>
      <c r="G54" s="416" t="s">
        <v>730</v>
      </c>
      <c r="H54" s="414" t="s">
        <v>776</v>
      </c>
      <c r="I54" s="414" t="s">
        <v>72</v>
      </c>
      <c r="J54" s="418">
        <v>11662119</v>
      </c>
      <c r="K54" s="418">
        <v>0</v>
      </c>
      <c r="L54" s="418">
        <v>5247507</v>
      </c>
      <c r="M54" s="419">
        <v>0</v>
      </c>
      <c r="N54" s="419">
        <v>0</v>
      </c>
      <c r="O54" s="419">
        <v>0</v>
      </c>
      <c r="P54" s="419"/>
      <c r="Q54" s="419"/>
      <c r="R54" s="419"/>
      <c r="S54" s="419"/>
      <c r="T54" s="419"/>
      <c r="U54" s="419"/>
      <c r="V54" s="419"/>
      <c r="W54" s="419"/>
      <c r="X54" s="419"/>
      <c r="Y54" s="419">
        <f t="shared" si="2"/>
        <v>0</v>
      </c>
      <c r="Z54" s="419">
        <v>1002000</v>
      </c>
      <c r="AA54" s="415">
        <v>7</v>
      </c>
      <c r="AB54" s="420">
        <v>44223</v>
      </c>
      <c r="AC54" s="420">
        <v>44244</v>
      </c>
      <c r="AD54" s="421"/>
      <c r="AE54" s="415"/>
      <c r="AF54" s="420"/>
      <c r="AG54" s="420"/>
      <c r="AH54" s="421"/>
      <c r="AI54" s="415"/>
      <c r="AJ54" s="420"/>
      <c r="AK54" s="420"/>
      <c r="AL54" s="421"/>
      <c r="AM54" s="415"/>
      <c r="AN54" s="420"/>
      <c r="AO54" s="420"/>
      <c r="AP54" s="421"/>
      <c r="AQ54" s="415"/>
      <c r="AR54" s="420"/>
      <c r="AS54" s="420"/>
      <c r="AT54" s="177">
        <f t="shared" si="0"/>
        <v>1002000</v>
      </c>
      <c r="AU54" s="178">
        <f t="shared" si="1"/>
        <v>1002000</v>
      </c>
    </row>
    <row r="55" spans="2:47" x14ac:dyDescent="0.25">
      <c r="B55" s="414">
        <v>40</v>
      </c>
      <c r="C55" s="414" t="s">
        <v>39</v>
      </c>
      <c r="D55" s="415">
        <v>40010167</v>
      </c>
      <c r="E55" s="416" t="s">
        <v>777</v>
      </c>
      <c r="F55" s="417" t="s">
        <v>603</v>
      </c>
      <c r="G55" s="416" t="s">
        <v>730</v>
      </c>
      <c r="H55" s="414" t="s">
        <v>773</v>
      </c>
      <c r="I55" s="414" t="s">
        <v>72</v>
      </c>
      <c r="J55" s="418">
        <v>327178</v>
      </c>
      <c r="K55" s="418">
        <v>0</v>
      </c>
      <c r="L55" s="418">
        <v>0</v>
      </c>
      <c r="M55" s="419">
        <v>0</v>
      </c>
      <c r="N55" s="419">
        <v>0</v>
      </c>
      <c r="O55" s="419">
        <v>0</v>
      </c>
      <c r="P55" s="419"/>
      <c r="Q55" s="419"/>
      <c r="R55" s="419"/>
      <c r="S55" s="419"/>
      <c r="T55" s="419"/>
      <c r="U55" s="419"/>
      <c r="V55" s="419"/>
      <c r="W55" s="419"/>
      <c r="X55" s="419"/>
      <c r="Y55" s="419">
        <f t="shared" si="2"/>
        <v>0</v>
      </c>
      <c r="Z55" s="419">
        <v>10000</v>
      </c>
      <c r="AA55" s="415">
        <v>8</v>
      </c>
      <c r="AB55" s="420">
        <v>44223</v>
      </c>
      <c r="AC55" s="420">
        <v>44237</v>
      </c>
      <c r="AD55" s="421"/>
      <c r="AE55" s="415"/>
      <c r="AF55" s="420"/>
      <c r="AG55" s="420"/>
      <c r="AH55" s="421"/>
      <c r="AI55" s="415"/>
      <c r="AJ55" s="420"/>
      <c r="AK55" s="420"/>
      <c r="AL55" s="421"/>
      <c r="AM55" s="415"/>
      <c r="AN55" s="420"/>
      <c r="AO55" s="420"/>
      <c r="AP55" s="421"/>
      <c r="AQ55" s="415"/>
      <c r="AR55" s="420"/>
      <c r="AS55" s="420"/>
      <c r="AT55" s="177">
        <f t="shared" si="0"/>
        <v>10000</v>
      </c>
      <c r="AU55" s="178">
        <f t="shared" si="1"/>
        <v>10000</v>
      </c>
    </row>
    <row r="56" spans="2:47" x14ac:dyDescent="0.25">
      <c r="B56" s="414">
        <v>41</v>
      </c>
      <c r="C56" s="414" t="s">
        <v>39</v>
      </c>
      <c r="D56" s="415">
        <v>40010404</v>
      </c>
      <c r="E56" s="416" t="s">
        <v>778</v>
      </c>
      <c r="F56" s="417" t="s">
        <v>60</v>
      </c>
      <c r="G56" s="416" t="s">
        <v>730</v>
      </c>
      <c r="H56" s="414" t="s">
        <v>731</v>
      </c>
      <c r="I56" s="414" t="s">
        <v>72</v>
      </c>
      <c r="J56" s="418">
        <v>225145</v>
      </c>
      <c r="K56" s="418">
        <v>0</v>
      </c>
      <c r="L56" s="418">
        <v>102386</v>
      </c>
      <c r="M56" s="419">
        <v>0</v>
      </c>
      <c r="N56" s="419">
        <v>0</v>
      </c>
      <c r="O56" s="419">
        <v>0</v>
      </c>
      <c r="P56" s="419"/>
      <c r="Q56" s="419"/>
      <c r="R56" s="419"/>
      <c r="S56" s="419"/>
      <c r="T56" s="419"/>
      <c r="U56" s="419"/>
      <c r="V56" s="419"/>
      <c r="W56" s="419"/>
      <c r="X56" s="419"/>
      <c r="Y56" s="419">
        <f t="shared" si="2"/>
        <v>0</v>
      </c>
      <c r="Z56" s="419">
        <v>120057</v>
      </c>
      <c r="AA56" s="415">
        <v>5</v>
      </c>
      <c r="AB56" s="420">
        <v>44223</v>
      </c>
      <c r="AC56" s="420">
        <v>44230</v>
      </c>
      <c r="AD56" s="421">
        <v>1</v>
      </c>
      <c r="AE56" s="415">
        <v>17</v>
      </c>
      <c r="AF56" s="420">
        <v>44260</v>
      </c>
      <c r="AG56" s="420">
        <v>44272</v>
      </c>
      <c r="AH56" s="421"/>
      <c r="AI56" s="415"/>
      <c r="AJ56" s="420"/>
      <c r="AK56" s="420"/>
      <c r="AL56" s="421"/>
      <c r="AM56" s="415"/>
      <c r="AN56" s="420"/>
      <c r="AO56" s="420"/>
      <c r="AP56" s="421"/>
      <c r="AQ56" s="415"/>
      <c r="AR56" s="420"/>
      <c r="AS56" s="420"/>
      <c r="AT56" s="177">
        <f t="shared" si="0"/>
        <v>120058</v>
      </c>
      <c r="AU56" s="178">
        <f t="shared" si="1"/>
        <v>120058</v>
      </c>
    </row>
    <row r="57" spans="2:47" x14ac:dyDescent="0.25">
      <c r="B57" s="414">
        <v>42</v>
      </c>
      <c r="C57" s="414" t="s">
        <v>39</v>
      </c>
      <c r="D57" s="415">
        <v>40014571</v>
      </c>
      <c r="E57" s="416" t="s">
        <v>779</v>
      </c>
      <c r="F57" s="417" t="s">
        <v>603</v>
      </c>
      <c r="G57" s="416" t="s">
        <v>730</v>
      </c>
      <c r="H57" s="414" t="s">
        <v>748</v>
      </c>
      <c r="I57" s="414" t="s">
        <v>72</v>
      </c>
      <c r="J57" s="418">
        <v>414371</v>
      </c>
      <c r="K57" s="418">
        <v>0</v>
      </c>
      <c r="L57" s="418">
        <v>0</v>
      </c>
      <c r="M57" s="419">
        <v>0</v>
      </c>
      <c r="N57" s="419">
        <v>0</v>
      </c>
      <c r="O57" s="419">
        <v>0</v>
      </c>
      <c r="P57" s="419"/>
      <c r="Q57" s="419"/>
      <c r="R57" s="419"/>
      <c r="S57" s="419"/>
      <c r="T57" s="419"/>
      <c r="U57" s="419"/>
      <c r="V57" s="419"/>
      <c r="W57" s="419"/>
      <c r="X57" s="419"/>
      <c r="Y57" s="419">
        <f t="shared" si="2"/>
        <v>0</v>
      </c>
      <c r="Z57" s="419">
        <v>11399</v>
      </c>
      <c r="AA57" s="415">
        <v>8</v>
      </c>
      <c r="AB57" s="420">
        <v>44223</v>
      </c>
      <c r="AC57" s="420">
        <v>44237</v>
      </c>
      <c r="AD57" s="421">
        <v>1</v>
      </c>
      <c r="AE57" s="415">
        <v>17</v>
      </c>
      <c r="AF57" s="420">
        <v>44260</v>
      </c>
      <c r="AG57" s="420">
        <v>44272</v>
      </c>
      <c r="AH57" s="421"/>
      <c r="AI57" s="415"/>
      <c r="AJ57" s="420"/>
      <c r="AK57" s="420"/>
      <c r="AL57" s="421"/>
      <c r="AM57" s="415"/>
      <c r="AN57" s="420"/>
      <c r="AO57" s="420"/>
      <c r="AP57" s="421"/>
      <c r="AQ57" s="415"/>
      <c r="AR57" s="420"/>
      <c r="AS57" s="420"/>
      <c r="AT57" s="177">
        <f t="shared" si="0"/>
        <v>11400</v>
      </c>
      <c r="AU57" s="178">
        <f t="shared" si="1"/>
        <v>11400</v>
      </c>
    </row>
    <row r="58" spans="2:47" ht="23.25" x14ac:dyDescent="0.25">
      <c r="B58" s="414">
        <v>43</v>
      </c>
      <c r="C58" s="414" t="s">
        <v>39</v>
      </c>
      <c r="D58" s="415">
        <v>40020666</v>
      </c>
      <c r="E58" s="416" t="s">
        <v>780</v>
      </c>
      <c r="F58" s="417" t="s">
        <v>60</v>
      </c>
      <c r="G58" s="416" t="s">
        <v>730</v>
      </c>
      <c r="H58" s="414" t="s">
        <v>730</v>
      </c>
      <c r="I58" s="414" t="s">
        <v>72</v>
      </c>
      <c r="J58" s="418">
        <v>4401053</v>
      </c>
      <c r="K58" s="418">
        <v>0</v>
      </c>
      <c r="L58" s="418">
        <v>2232288</v>
      </c>
      <c r="M58" s="419">
        <v>0</v>
      </c>
      <c r="N58" s="419">
        <v>0</v>
      </c>
      <c r="O58" s="419">
        <v>0</v>
      </c>
      <c r="P58" s="419"/>
      <c r="Q58" s="419"/>
      <c r="R58" s="419"/>
      <c r="S58" s="419"/>
      <c r="T58" s="419"/>
      <c r="U58" s="419"/>
      <c r="V58" s="419"/>
      <c r="W58" s="419"/>
      <c r="X58" s="419"/>
      <c r="Y58" s="419">
        <f t="shared" si="2"/>
        <v>0</v>
      </c>
      <c r="Z58" s="419">
        <v>101000</v>
      </c>
      <c r="AA58" s="415">
        <v>6</v>
      </c>
      <c r="AB58" s="420">
        <v>44223</v>
      </c>
      <c r="AC58" s="420">
        <v>44236</v>
      </c>
      <c r="AD58" s="421">
        <v>300</v>
      </c>
      <c r="AE58" s="415">
        <v>17</v>
      </c>
      <c r="AF58" s="420">
        <v>44260</v>
      </c>
      <c r="AG58" s="420">
        <v>44272</v>
      </c>
      <c r="AH58" s="421"/>
      <c r="AI58" s="415"/>
      <c r="AJ58" s="420"/>
      <c r="AK58" s="420"/>
      <c r="AL58" s="421"/>
      <c r="AM58" s="415"/>
      <c r="AN58" s="420"/>
      <c r="AO58" s="420"/>
      <c r="AP58" s="421"/>
      <c r="AQ58" s="415"/>
      <c r="AR58" s="420"/>
      <c r="AS58" s="420"/>
      <c r="AT58" s="177">
        <f t="shared" si="0"/>
        <v>101300</v>
      </c>
      <c r="AU58" s="178">
        <f t="shared" si="1"/>
        <v>101300</v>
      </c>
    </row>
    <row r="59" spans="2:47" x14ac:dyDescent="0.25">
      <c r="B59" s="414">
        <v>44</v>
      </c>
      <c r="C59" s="414"/>
      <c r="D59" s="415"/>
      <c r="E59" s="416"/>
      <c r="F59" s="417"/>
      <c r="G59" s="416"/>
      <c r="H59" s="414"/>
      <c r="I59" s="414"/>
      <c r="J59" s="418"/>
      <c r="K59" s="418"/>
      <c r="L59" s="418"/>
      <c r="M59" s="419">
        <v>0</v>
      </c>
      <c r="N59" s="419">
        <v>0</v>
      </c>
      <c r="O59" s="419">
        <v>0</v>
      </c>
      <c r="P59" s="419"/>
      <c r="Q59" s="419"/>
      <c r="R59" s="419"/>
      <c r="S59" s="419"/>
      <c r="T59" s="419"/>
      <c r="U59" s="419"/>
      <c r="V59" s="419"/>
      <c r="W59" s="419"/>
      <c r="X59" s="419"/>
      <c r="Y59" s="419">
        <f t="shared" si="2"/>
        <v>0</v>
      </c>
      <c r="Z59" s="419"/>
      <c r="AA59" s="415"/>
      <c r="AB59" s="420"/>
      <c r="AC59" s="420"/>
      <c r="AD59" s="421"/>
      <c r="AE59" s="415"/>
      <c r="AF59" s="420"/>
      <c r="AG59" s="420"/>
      <c r="AH59" s="421"/>
      <c r="AI59" s="415"/>
      <c r="AJ59" s="420"/>
      <c r="AK59" s="420"/>
      <c r="AL59" s="421"/>
      <c r="AM59" s="415"/>
      <c r="AN59" s="420"/>
      <c r="AO59" s="420"/>
      <c r="AP59" s="421"/>
      <c r="AQ59" s="415"/>
      <c r="AR59" s="420"/>
      <c r="AS59" s="420"/>
      <c r="AT59" s="177">
        <f t="shared" si="0"/>
        <v>0</v>
      </c>
      <c r="AU59" s="178">
        <f t="shared" si="1"/>
        <v>0</v>
      </c>
    </row>
    <row r="60" spans="2:47" x14ac:dyDescent="0.25">
      <c r="B60" s="414">
        <v>45</v>
      </c>
      <c r="C60" s="414"/>
      <c r="D60" s="415"/>
      <c r="E60" s="416"/>
      <c r="F60" s="417"/>
      <c r="G60" s="416"/>
      <c r="H60" s="414"/>
      <c r="I60" s="414"/>
      <c r="J60" s="418"/>
      <c r="K60" s="418"/>
      <c r="L60" s="418"/>
      <c r="M60" s="419">
        <v>0</v>
      </c>
      <c r="N60" s="419"/>
      <c r="O60" s="419"/>
      <c r="P60" s="419"/>
      <c r="Q60" s="419"/>
      <c r="R60" s="419"/>
      <c r="S60" s="419"/>
      <c r="T60" s="419"/>
      <c r="U60" s="419"/>
      <c r="V60" s="419"/>
      <c r="W60" s="419"/>
      <c r="X60" s="419"/>
      <c r="Y60" s="419">
        <f t="shared" si="2"/>
        <v>0</v>
      </c>
      <c r="Z60" s="419"/>
      <c r="AA60" s="415"/>
      <c r="AB60" s="420"/>
      <c r="AC60" s="420"/>
      <c r="AD60" s="421"/>
      <c r="AE60" s="415"/>
      <c r="AF60" s="420"/>
      <c r="AG60" s="420"/>
      <c r="AH60" s="421"/>
      <c r="AI60" s="415"/>
      <c r="AJ60" s="420"/>
      <c r="AK60" s="420"/>
      <c r="AL60" s="421"/>
      <c r="AM60" s="415"/>
      <c r="AN60" s="420"/>
      <c r="AO60" s="420"/>
      <c r="AP60" s="421"/>
      <c r="AQ60" s="415"/>
      <c r="AR60" s="420"/>
      <c r="AS60" s="420"/>
      <c r="AT60" s="177">
        <f t="shared" si="0"/>
        <v>0</v>
      </c>
      <c r="AU60" s="178">
        <f t="shared" si="1"/>
        <v>0</v>
      </c>
    </row>
    <row r="61" spans="2:47" x14ac:dyDescent="0.25">
      <c r="B61" s="414">
        <v>46</v>
      </c>
      <c r="C61" s="414"/>
      <c r="D61" s="415"/>
      <c r="E61" s="416"/>
      <c r="F61" s="417"/>
      <c r="G61" s="416"/>
      <c r="H61" s="414"/>
      <c r="I61" s="414"/>
      <c r="J61" s="418"/>
      <c r="K61" s="418"/>
      <c r="L61" s="418"/>
      <c r="M61" s="419">
        <v>0</v>
      </c>
      <c r="N61" s="419"/>
      <c r="O61" s="419"/>
      <c r="P61" s="419"/>
      <c r="Q61" s="419"/>
      <c r="R61" s="419"/>
      <c r="S61" s="419"/>
      <c r="T61" s="419"/>
      <c r="U61" s="419"/>
      <c r="V61" s="419"/>
      <c r="W61" s="419"/>
      <c r="X61" s="419"/>
      <c r="Y61" s="419">
        <f t="shared" si="2"/>
        <v>0</v>
      </c>
      <c r="Z61" s="419"/>
      <c r="AA61" s="415"/>
      <c r="AB61" s="420"/>
      <c r="AC61" s="420"/>
      <c r="AD61" s="421"/>
      <c r="AE61" s="415"/>
      <c r="AF61" s="420"/>
      <c r="AG61" s="420"/>
      <c r="AH61" s="421"/>
      <c r="AI61" s="415"/>
      <c r="AJ61" s="420"/>
      <c r="AK61" s="420"/>
      <c r="AL61" s="421"/>
      <c r="AM61" s="415"/>
      <c r="AN61" s="420"/>
      <c r="AO61" s="420"/>
      <c r="AP61" s="421"/>
      <c r="AQ61" s="415"/>
      <c r="AR61" s="420"/>
      <c r="AS61" s="420"/>
      <c r="AT61" s="177">
        <f t="shared" si="0"/>
        <v>0</v>
      </c>
      <c r="AU61" s="178">
        <f t="shared" si="1"/>
        <v>0</v>
      </c>
    </row>
    <row r="62" spans="2:47" x14ac:dyDescent="0.25">
      <c r="B62" s="414">
        <v>47</v>
      </c>
      <c r="C62" s="414"/>
      <c r="D62" s="415"/>
      <c r="E62" s="416"/>
      <c r="F62" s="417"/>
      <c r="G62" s="416"/>
      <c r="H62" s="414"/>
      <c r="I62" s="414"/>
      <c r="J62" s="418"/>
      <c r="K62" s="418"/>
      <c r="L62" s="418"/>
      <c r="M62" s="419">
        <v>0</v>
      </c>
      <c r="N62" s="419"/>
      <c r="O62" s="419"/>
      <c r="P62" s="419"/>
      <c r="Q62" s="419"/>
      <c r="R62" s="419"/>
      <c r="S62" s="419"/>
      <c r="T62" s="419"/>
      <c r="U62" s="419"/>
      <c r="V62" s="419"/>
      <c r="W62" s="419"/>
      <c r="X62" s="419"/>
      <c r="Y62" s="419">
        <f t="shared" si="2"/>
        <v>0</v>
      </c>
      <c r="Z62" s="419"/>
      <c r="AA62" s="415"/>
      <c r="AB62" s="420"/>
      <c r="AC62" s="420"/>
      <c r="AD62" s="421"/>
      <c r="AE62" s="415"/>
      <c r="AF62" s="420"/>
      <c r="AG62" s="420"/>
      <c r="AH62" s="421"/>
      <c r="AI62" s="415"/>
      <c r="AJ62" s="420"/>
      <c r="AK62" s="420"/>
      <c r="AL62" s="421"/>
      <c r="AM62" s="415"/>
      <c r="AN62" s="420"/>
      <c r="AO62" s="420"/>
      <c r="AP62" s="421"/>
      <c r="AQ62" s="415"/>
      <c r="AR62" s="420"/>
      <c r="AS62" s="420"/>
      <c r="AT62" s="177">
        <f t="shared" si="0"/>
        <v>0</v>
      </c>
      <c r="AU62" s="178">
        <f t="shared" si="1"/>
        <v>0</v>
      </c>
    </row>
    <row r="63" spans="2:47" x14ac:dyDescent="0.25">
      <c r="B63" s="414">
        <v>48</v>
      </c>
      <c r="C63" s="414"/>
      <c r="D63" s="415"/>
      <c r="E63" s="416"/>
      <c r="F63" s="417"/>
      <c r="G63" s="416"/>
      <c r="H63" s="414"/>
      <c r="I63" s="414"/>
      <c r="J63" s="418"/>
      <c r="K63" s="418"/>
      <c r="L63" s="418"/>
      <c r="M63" s="419">
        <v>0</v>
      </c>
      <c r="N63" s="419"/>
      <c r="O63" s="419"/>
      <c r="P63" s="419"/>
      <c r="Q63" s="419"/>
      <c r="R63" s="419"/>
      <c r="S63" s="419"/>
      <c r="T63" s="419"/>
      <c r="U63" s="419"/>
      <c r="V63" s="419"/>
      <c r="W63" s="419"/>
      <c r="X63" s="419"/>
      <c r="Y63" s="419">
        <f t="shared" si="2"/>
        <v>0</v>
      </c>
      <c r="Z63" s="419"/>
      <c r="AA63" s="415"/>
      <c r="AB63" s="420"/>
      <c r="AC63" s="420"/>
      <c r="AD63" s="421"/>
      <c r="AE63" s="415"/>
      <c r="AF63" s="420"/>
      <c r="AG63" s="420"/>
      <c r="AH63" s="421"/>
      <c r="AI63" s="415"/>
      <c r="AJ63" s="420"/>
      <c r="AK63" s="420"/>
      <c r="AL63" s="421"/>
      <c r="AM63" s="415"/>
      <c r="AN63" s="420"/>
      <c r="AO63" s="420"/>
      <c r="AP63" s="421"/>
      <c r="AQ63" s="415"/>
      <c r="AR63" s="420"/>
      <c r="AS63" s="420"/>
      <c r="AT63" s="177">
        <f t="shared" si="0"/>
        <v>0</v>
      </c>
      <c r="AU63" s="178">
        <f t="shared" si="1"/>
        <v>0</v>
      </c>
    </row>
    <row r="64" spans="2:47" x14ac:dyDescent="0.25">
      <c r="B64" s="414">
        <v>49</v>
      </c>
      <c r="C64" s="414"/>
      <c r="D64" s="415"/>
      <c r="E64" s="416"/>
      <c r="F64" s="417"/>
      <c r="G64" s="416"/>
      <c r="H64" s="414"/>
      <c r="I64" s="414"/>
      <c r="J64" s="418"/>
      <c r="K64" s="418"/>
      <c r="L64" s="418"/>
      <c r="M64" s="419">
        <v>0</v>
      </c>
      <c r="N64" s="419"/>
      <c r="O64" s="419"/>
      <c r="P64" s="419"/>
      <c r="Q64" s="419"/>
      <c r="R64" s="419"/>
      <c r="S64" s="419"/>
      <c r="T64" s="419"/>
      <c r="U64" s="419"/>
      <c r="V64" s="419"/>
      <c r="W64" s="419"/>
      <c r="X64" s="419"/>
      <c r="Y64" s="419">
        <f t="shared" si="2"/>
        <v>0</v>
      </c>
      <c r="Z64" s="419"/>
      <c r="AA64" s="415"/>
      <c r="AB64" s="420"/>
      <c r="AC64" s="420"/>
      <c r="AD64" s="421"/>
      <c r="AE64" s="415"/>
      <c r="AF64" s="420"/>
      <c r="AG64" s="420"/>
      <c r="AH64" s="421"/>
      <c r="AI64" s="415"/>
      <c r="AJ64" s="420"/>
      <c r="AK64" s="420"/>
      <c r="AL64" s="421"/>
      <c r="AM64" s="415"/>
      <c r="AN64" s="420"/>
      <c r="AO64" s="420"/>
      <c r="AP64" s="421"/>
      <c r="AQ64" s="415"/>
      <c r="AR64" s="420"/>
      <c r="AS64" s="420"/>
      <c r="AT64" s="177">
        <f t="shared" si="0"/>
        <v>0</v>
      </c>
      <c r="AU64" s="178">
        <f t="shared" si="1"/>
        <v>0</v>
      </c>
    </row>
    <row r="65" spans="2:47" x14ac:dyDescent="0.25">
      <c r="B65" s="414">
        <v>50</v>
      </c>
      <c r="C65" s="414"/>
      <c r="D65" s="415"/>
      <c r="E65" s="416"/>
      <c r="F65" s="417"/>
      <c r="G65" s="416"/>
      <c r="H65" s="414"/>
      <c r="I65" s="414"/>
      <c r="J65" s="418"/>
      <c r="K65" s="418"/>
      <c r="L65" s="418"/>
      <c r="M65" s="419">
        <v>0</v>
      </c>
      <c r="N65" s="419"/>
      <c r="O65" s="419"/>
      <c r="P65" s="419"/>
      <c r="Q65" s="419"/>
      <c r="R65" s="419"/>
      <c r="S65" s="419"/>
      <c r="T65" s="419"/>
      <c r="U65" s="419"/>
      <c r="V65" s="419"/>
      <c r="W65" s="419"/>
      <c r="X65" s="419"/>
      <c r="Y65" s="419">
        <f t="shared" si="2"/>
        <v>0</v>
      </c>
      <c r="Z65" s="419"/>
      <c r="AA65" s="415"/>
      <c r="AB65" s="420"/>
      <c r="AC65" s="420"/>
      <c r="AD65" s="421"/>
      <c r="AE65" s="415"/>
      <c r="AF65" s="420"/>
      <c r="AG65" s="420"/>
      <c r="AH65" s="421"/>
      <c r="AI65" s="415"/>
      <c r="AJ65" s="420"/>
      <c r="AK65" s="420"/>
      <c r="AL65" s="421"/>
      <c r="AM65" s="415"/>
      <c r="AN65" s="420"/>
      <c r="AO65" s="420"/>
      <c r="AP65" s="421"/>
      <c r="AQ65" s="415"/>
      <c r="AR65" s="420"/>
      <c r="AS65" s="420"/>
      <c r="AT65" s="177">
        <f t="shared" si="0"/>
        <v>0</v>
      </c>
      <c r="AU65" s="178">
        <f t="shared" si="1"/>
        <v>0</v>
      </c>
    </row>
    <row r="66" spans="2:47" x14ac:dyDescent="0.25">
      <c r="B66" s="414">
        <v>51</v>
      </c>
      <c r="C66" s="414"/>
      <c r="D66" s="415"/>
      <c r="E66" s="416"/>
      <c r="F66" s="417"/>
      <c r="G66" s="416"/>
      <c r="H66" s="414"/>
      <c r="I66" s="414"/>
      <c r="J66" s="418"/>
      <c r="K66" s="418"/>
      <c r="L66" s="418"/>
      <c r="M66" s="419">
        <v>0</v>
      </c>
      <c r="N66" s="419"/>
      <c r="O66" s="419"/>
      <c r="P66" s="419"/>
      <c r="Q66" s="419"/>
      <c r="R66" s="419"/>
      <c r="S66" s="419"/>
      <c r="T66" s="419"/>
      <c r="U66" s="419"/>
      <c r="V66" s="419"/>
      <c r="W66" s="419"/>
      <c r="X66" s="419"/>
      <c r="Y66" s="419">
        <f t="shared" si="2"/>
        <v>0</v>
      </c>
      <c r="Z66" s="419"/>
      <c r="AA66" s="415"/>
      <c r="AB66" s="420"/>
      <c r="AC66" s="420"/>
      <c r="AD66" s="421"/>
      <c r="AE66" s="415"/>
      <c r="AF66" s="420"/>
      <c r="AG66" s="420"/>
      <c r="AH66" s="421"/>
      <c r="AI66" s="415"/>
      <c r="AJ66" s="420"/>
      <c r="AK66" s="420"/>
      <c r="AL66" s="421"/>
      <c r="AM66" s="415"/>
      <c r="AN66" s="420"/>
      <c r="AO66" s="420"/>
      <c r="AP66" s="421"/>
      <c r="AQ66" s="415"/>
      <c r="AR66" s="420"/>
      <c r="AS66" s="420"/>
      <c r="AT66" s="177">
        <f t="shared" si="0"/>
        <v>0</v>
      </c>
      <c r="AU66" s="178">
        <f t="shared" si="1"/>
        <v>0</v>
      </c>
    </row>
    <row r="67" spans="2:47" x14ac:dyDescent="0.25">
      <c r="B67" s="414">
        <v>52</v>
      </c>
      <c r="C67" s="414"/>
      <c r="D67" s="415"/>
      <c r="E67" s="416"/>
      <c r="F67" s="417"/>
      <c r="G67" s="416"/>
      <c r="H67" s="414"/>
      <c r="I67" s="414"/>
      <c r="J67" s="418"/>
      <c r="K67" s="418"/>
      <c r="L67" s="418"/>
      <c r="M67" s="419">
        <v>0</v>
      </c>
      <c r="N67" s="419"/>
      <c r="O67" s="419"/>
      <c r="P67" s="419"/>
      <c r="Q67" s="419"/>
      <c r="R67" s="419"/>
      <c r="S67" s="419"/>
      <c r="T67" s="419"/>
      <c r="U67" s="419"/>
      <c r="V67" s="419"/>
      <c r="W67" s="419"/>
      <c r="X67" s="419"/>
      <c r="Y67" s="419">
        <f t="shared" si="2"/>
        <v>0</v>
      </c>
      <c r="Z67" s="419"/>
      <c r="AA67" s="415"/>
      <c r="AB67" s="420"/>
      <c r="AC67" s="420"/>
      <c r="AD67" s="421"/>
      <c r="AE67" s="415"/>
      <c r="AF67" s="420"/>
      <c r="AG67" s="420"/>
      <c r="AH67" s="421"/>
      <c r="AI67" s="415"/>
      <c r="AJ67" s="420"/>
      <c r="AK67" s="420"/>
      <c r="AL67" s="421"/>
      <c r="AM67" s="415"/>
      <c r="AN67" s="420"/>
      <c r="AO67" s="420"/>
      <c r="AP67" s="421"/>
      <c r="AQ67" s="415"/>
      <c r="AR67" s="420"/>
      <c r="AS67" s="420"/>
      <c r="AT67" s="177">
        <f t="shared" si="0"/>
        <v>0</v>
      </c>
      <c r="AU67" s="178">
        <f t="shared" si="1"/>
        <v>0</v>
      </c>
    </row>
    <row r="68" spans="2:47" x14ac:dyDescent="0.25">
      <c r="B68" s="414"/>
      <c r="C68" s="414"/>
      <c r="D68" s="415"/>
      <c r="E68" s="416"/>
      <c r="F68" s="417"/>
      <c r="G68" s="416"/>
      <c r="H68" s="414"/>
      <c r="I68" s="414"/>
      <c r="J68" s="418"/>
      <c r="K68" s="418"/>
      <c r="L68" s="418"/>
      <c r="M68" s="419"/>
      <c r="N68" s="419"/>
      <c r="O68" s="419"/>
      <c r="P68" s="419"/>
      <c r="Q68" s="419"/>
      <c r="R68" s="419"/>
      <c r="S68" s="419"/>
      <c r="T68" s="419"/>
      <c r="U68" s="419"/>
      <c r="V68" s="419"/>
      <c r="W68" s="419"/>
      <c r="X68" s="419"/>
      <c r="Y68" s="419">
        <f t="shared" si="2"/>
        <v>0</v>
      </c>
      <c r="Z68" s="419"/>
      <c r="AA68" s="415"/>
      <c r="AB68" s="420"/>
      <c r="AC68" s="420"/>
      <c r="AD68" s="421"/>
      <c r="AE68" s="415"/>
      <c r="AF68" s="420"/>
      <c r="AG68" s="420"/>
      <c r="AH68" s="421"/>
      <c r="AI68" s="415"/>
      <c r="AJ68" s="420"/>
      <c r="AK68" s="420"/>
      <c r="AL68" s="421"/>
      <c r="AM68" s="415"/>
      <c r="AN68" s="420"/>
      <c r="AO68" s="420"/>
      <c r="AP68" s="421"/>
      <c r="AQ68" s="415"/>
      <c r="AR68" s="420"/>
      <c r="AS68" s="420"/>
      <c r="AT68" s="177">
        <f t="shared" si="0"/>
        <v>0</v>
      </c>
      <c r="AU68" s="178">
        <f t="shared" si="1"/>
        <v>0</v>
      </c>
    </row>
    <row r="69" spans="2:47" x14ac:dyDescent="0.25">
      <c r="B69" s="414"/>
      <c r="C69" s="414"/>
      <c r="D69" s="415"/>
      <c r="E69" s="416"/>
      <c r="F69" s="417"/>
      <c r="G69" s="416"/>
      <c r="H69" s="414"/>
      <c r="I69" s="414"/>
      <c r="J69" s="418"/>
      <c r="K69" s="418"/>
      <c r="L69" s="418"/>
      <c r="M69" s="419"/>
      <c r="N69" s="419"/>
      <c r="O69" s="419"/>
      <c r="P69" s="419"/>
      <c r="Q69" s="419"/>
      <c r="R69" s="419"/>
      <c r="S69" s="419"/>
      <c r="T69" s="419"/>
      <c r="U69" s="419"/>
      <c r="V69" s="419"/>
      <c r="W69" s="419"/>
      <c r="X69" s="419"/>
      <c r="Y69" s="419">
        <f t="shared" si="2"/>
        <v>0</v>
      </c>
      <c r="Z69" s="419"/>
      <c r="AA69" s="415"/>
      <c r="AB69" s="420"/>
      <c r="AC69" s="420"/>
      <c r="AD69" s="421"/>
      <c r="AE69" s="415"/>
      <c r="AF69" s="420"/>
      <c r="AG69" s="420"/>
      <c r="AH69" s="421"/>
      <c r="AI69" s="415"/>
      <c r="AJ69" s="420"/>
      <c r="AK69" s="420"/>
      <c r="AL69" s="421"/>
      <c r="AM69" s="415"/>
      <c r="AN69" s="420"/>
      <c r="AO69" s="420"/>
      <c r="AP69" s="421"/>
      <c r="AQ69" s="415"/>
      <c r="AR69" s="420"/>
      <c r="AS69" s="420"/>
      <c r="AT69" s="177">
        <f t="shared" si="0"/>
        <v>0</v>
      </c>
      <c r="AU69" s="178">
        <f t="shared" si="1"/>
        <v>0</v>
      </c>
    </row>
    <row r="70" spans="2:47" x14ac:dyDescent="0.25">
      <c r="B70" s="414"/>
      <c r="C70" s="414"/>
      <c r="D70" s="415"/>
      <c r="E70" s="416"/>
      <c r="F70" s="417"/>
      <c r="G70" s="416"/>
      <c r="H70" s="414"/>
      <c r="I70" s="414"/>
      <c r="J70" s="418"/>
      <c r="K70" s="418"/>
      <c r="L70" s="418"/>
      <c r="M70" s="419"/>
      <c r="N70" s="419"/>
      <c r="O70" s="419"/>
      <c r="P70" s="419"/>
      <c r="Q70" s="419"/>
      <c r="R70" s="419"/>
      <c r="S70" s="419"/>
      <c r="T70" s="419"/>
      <c r="U70" s="419"/>
      <c r="V70" s="419"/>
      <c r="W70" s="419"/>
      <c r="X70" s="419"/>
      <c r="Y70" s="419">
        <f t="shared" si="2"/>
        <v>0</v>
      </c>
      <c r="Z70" s="419"/>
      <c r="AA70" s="415"/>
      <c r="AB70" s="420"/>
      <c r="AC70" s="420"/>
      <c r="AD70" s="421"/>
      <c r="AE70" s="415"/>
      <c r="AF70" s="420"/>
      <c r="AG70" s="420"/>
      <c r="AH70" s="421"/>
      <c r="AI70" s="415"/>
      <c r="AJ70" s="420"/>
      <c r="AK70" s="420"/>
      <c r="AL70" s="421"/>
      <c r="AM70" s="415"/>
      <c r="AN70" s="420"/>
      <c r="AO70" s="420"/>
      <c r="AP70" s="421"/>
      <c r="AQ70" s="415"/>
      <c r="AR70" s="420"/>
      <c r="AS70" s="420"/>
      <c r="AT70" s="177">
        <f t="shared" si="0"/>
        <v>0</v>
      </c>
      <c r="AU70" s="178">
        <f t="shared" si="1"/>
        <v>0</v>
      </c>
    </row>
    <row r="71" spans="2:47" s="182" customFormat="1" x14ac:dyDescent="0.25">
      <c r="B71" s="560" t="s">
        <v>40</v>
      </c>
      <c r="C71" s="561"/>
      <c r="D71" s="561"/>
      <c r="E71" s="561"/>
      <c r="F71" s="561"/>
      <c r="G71" s="561"/>
      <c r="H71" s="561"/>
      <c r="I71" s="562"/>
      <c r="J71" s="422">
        <f t="shared" ref="J71:X71" si="3">SUBTOTAL(9,J16:J70)</f>
        <v>131452601</v>
      </c>
      <c r="K71" s="422">
        <f t="shared" si="3"/>
        <v>60310232</v>
      </c>
      <c r="L71" s="422">
        <f t="shared" si="3"/>
        <v>18464809</v>
      </c>
      <c r="M71" s="422">
        <f t="shared" si="3"/>
        <v>0</v>
      </c>
      <c r="N71" s="422">
        <f t="shared" si="3"/>
        <v>182839.916</v>
      </c>
      <c r="O71" s="422">
        <f t="shared" si="3"/>
        <v>1308876.075</v>
      </c>
      <c r="P71" s="422">
        <f t="shared" si="3"/>
        <v>0</v>
      </c>
      <c r="Q71" s="422">
        <f t="shared" si="3"/>
        <v>0</v>
      </c>
      <c r="R71" s="422">
        <f t="shared" si="3"/>
        <v>0</v>
      </c>
      <c r="S71" s="422">
        <f t="shared" si="3"/>
        <v>0</v>
      </c>
      <c r="T71" s="422">
        <f t="shared" si="3"/>
        <v>0</v>
      </c>
      <c r="U71" s="422">
        <f t="shared" si="3"/>
        <v>0</v>
      </c>
      <c r="V71" s="422">
        <f t="shared" si="3"/>
        <v>0</v>
      </c>
      <c r="W71" s="422">
        <f t="shared" si="3"/>
        <v>0</v>
      </c>
      <c r="X71" s="422">
        <f t="shared" si="3"/>
        <v>0</v>
      </c>
      <c r="Y71" s="422">
        <f>SUBTOTAL(9,Y16:Y70)</f>
        <v>1491715.9909999999</v>
      </c>
      <c r="Z71" s="422">
        <f>SUBTOTAL(9,Z16:Z70)</f>
        <v>11017436</v>
      </c>
      <c r="AA71" s="422"/>
      <c r="AB71" s="422"/>
      <c r="AC71" s="422"/>
      <c r="AD71" s="422">
        <f>SUBTOTAL(9,AD16:AD70)</f>
        <v>787700</v>
      </c>
      <c r="AE71" s="422"/>
      <c r="AF71" s="422"/>
      <c r="AG71" s="422"/>
      <c r="AH71" s="422">
        <f>SUBTOTAL(9,AH16:AH70)</f>
        <v>539999</v>
      </c>
      <c r="AI71" s="422"/>
      <c r="AJ71" s="422"/>
      <c r="AK71" s="422"/>
      <c r="AL71" s="422">
        <f>SUBTOTAL(9,AL16:AL70)</f>
        <v>0</v>
      </c>
      <c r="AM71" s="422"/>
      <c r="AN71" s="422"/>
      <c r="AO71" s="422"/>
      <c r="AP71" s="422">
        <f>SUBTOTAL(9,AP16:AP70)</f>
        <v>0</v>
      </c>
      <c r="AQ71" s="422"/>
      <c r="AR71" s="422"/>
      <c r="AS71" s="422"/>
      <c r="AT71" s="422">
        <f>SUBTOTAL(9,AT16:AT70)</f>
        <v>12345135</v>
      </c>
      <c r="AU71" s="422">
        <f>SUBTOTAL(9,AU16:AU70)</f>
        <v>10853419.009</v>
      </c>
    </row>
    <row r="72" spans="2:47" x14ac:dyDescent="0.25">
      <c r="J72" s="168"/>
      <c r="K72" s="168"/>
      <c r="L72" s="168"/>
      <c r="M72" s="179"/>
      <c r="N72" s="179"/>
      <c r="O72" s="179"/>
      <c r="P72" s="179"/>
      <c r="Q72" s="179"/>
      <c r="R72" s="179"/>
      <c r="S72" s="179"/>
      <c r="T72" s="179"/>
      <c r="U72" s="179"/>
      <c r="V72" s="179"/>
      <c r="W72" s="179"/>
      <c r="X72" s="179"/>
      <c r="Y72" s="179"/>
      <c r="Z72" s="179"/>
      <c r="AA72" s="168"/>
      <c r="AB72" s="179"/>
      <c r="AC72" s="179"/>
      <c r="AD72" s="179"/>
      <c r="AE72" s="168"/>
      <c r="AF72" s="179"/>
      <c r="AG72" s="179"/>
      <c r="AH72" s="179"/>
      <c r="AI72" s="168"/>
      <c r="AJ72" s="179"/>
      <c r="AK72" s="179"/>
      <c r="AL72" s="179"/>
      <c r="AM72" s="168"/>
      <c r="AN72" s="179"/>
      <c r="AO72" s="179"/>
      <c r="AP72" s="179"/>
      <c r="AQ72" s="168"/>
      <c r="AR72" s="179"/>
      <c r="AS72" s="179"/>
      <c r="AT72" s="179"/>
      <c r="AU72" s="179"/>
    </row>
    <row r="73" spans="2:47" x14ac:dyDescent="0.25">
      <c r="J73" s="168"/>
      <c r="K73" s="168"/>
      <c r="L73" s="168"/>
      <c r="M73" s="179"/>
      <c r="N73" s="179"/>
      <c r="O73" s="179"/>
      <c r="P73" s="179"/>
      <c r="Q73" s="179"/>
      <c r="R73" s="179"/>
      <c r="S73" s="179"/>
      <c r="T73" s="179"/>
      <c r="U73" s="179"/>
      <c r="V73" s="179"/>
      <c r="W73" s="179"/>
      <c r="X73" s="179"/>
      <c r="Y73" s="179"/>
      <c r="Z73" s="179"/>
      <c r="AA73" s="168"/>
      <c r="AB73" s="179"/>
      <c r="AC73" s="179"/>
      <c r="AD73" s="179"/>
      <c r="AE73" s="168"/>
      <c r="AF73" s="179"/>
      <c r="AG73" s="179"/>
      <c r="AH73" s="179"/>
      <c r="AI73" s="168"/>
      <c r="AJ73" s="179"/>
      <c r="AK73" s="179"/>
      <c r="AL73" s="179"/>
      <c r="AM73" s="168"/>
      <c r="AN73" s="179"/>
      <c r="AO73" s="179"/>
      <c r="AP73" s="179"/>
      <c r="AQ73" s="168"/>
      <c r="AR73" s="179"/>
      <c r="AS73" s="179"/>
      <c r="AT73" s="179"/>
      <c r="AU73" s="179"/>
    </row>
    <row r="74" spans="2:47" ht="15.75" customHeight="1" x14ac:dyDescent="0.25">
      <c r="J74" s="168"/>
      <c r="K74" s="168"/>
      <c r="L74" s="168"/>
      <c r="M74" s="179"/>
      <c r="N74" s="179"/>
      <c r="O74" s="179"/>
      <c r="P74" s="179"/>
      <c r="Q74" s="179"/>
      <c r="R74" s="179"/>
      <c r="S74" s="179"/>
      <c r="T74" s="179"/>
      <c r="U74" s="179"/>
      <c r="V74" s="179"/>
      <c r="W74" s="179"/>
      <c r="X74" s="179"/>
      <c r="Y74" s="179"/>
      <c r="Z74" s="179"/>
      <c r="AA74" s="168"/>
      <c r="AB74" s="179"/>
      <c r="AC74" s="179"/>
      <c r="AD74" s="179"/>
      <c r="AE74" s="168"/>
      <c r="AF74" s="179"/>
      <c r="AG74" s="179"/>
      <c r="AH74" s="179"/>
      <c r="AI74" s="168"/>
      <c r="AJ74" s="179"/>
      <c r="AK74" s="179"/>
      <c r="AL74" s="179"/>
      <c r="AM74" s="168"/>
      <c r="AN74" s="179"/>
      <c r="AO74" s="179"/>
      <c r="AP74" s="179"/>
      <c r="AQ74" s="168"/>
      <c r="AR74" s="179" t="s">
        <v>781</v>
      </c>
      <c r="AS74" s="179"/>
      <c r="AT74" s="179"/>
      <c r="AU74" s="180">
        <v>0.87916568016469643</v>
      </c>
    </row>
    <row r="75" spans="2:47" x14ac:dyDescent="0.25">
      <c r="J75" s="168"/>
      <c r="K75" s="168"/>
      <c r="L75" s="168"/>
      <c r="M75" s="179"/>
      <c r="Z75" s="179"/>
      <c r="AA75" s="168"/>
      <c r="AB75" s="179"/>
      <c r="AC75" s="179"/>
      <c r="AD75" s="179"/>
      <c r="AE75" s="168"/>
      <c r="AF75" s="179"/>
      <c r="AG75" s="179"/>
      <c r="AH75" s="179"/>
      <c r="AI75" s="168"/>
      <c r="AJ75" s="179"/>
      <c r="AK75" s="179"/>
      <c r="AL75" s="179"/>
      <c r="AM75" s="168"/>
      <c r="AN75" s="179"/>
      <c r="AO75" s="179"/>
      <c r="AP75" s="179"/>
      <c r="AQ75" s="168"/>
      <c r="AR75" s="179"/>
      <c r="AS75" s="179"/>
      <c r="AT75" s="179"/>
      <c r="AU75" s="179"/>
    </row>
    <row r="76" spans="2:47" x14ac:dyDescent="0.25">
      <c r="J76" s="168"/>
      <c r="K76" s="168"/>
      <c r="L76" s="168"/>
      <c r="M76" s="179"/>
      <c r="Z76" s="179"/>
      <c r="AA76" s="168"/>
      <c r="AB76" s="179"/>
      <c r="AC76" s="179"/>
      <c r="AD76" s="179"/>
      <c r="AE76" s="168"/>
      <c r="AF76" s="179"/>
      <c r="AG76" s="179"/>
      <c r="AH76" s="179"/>
      <c r="AI76" s="168"/>
      <c r="AJ76" s="179"/>
      <c r="AK76" s="179"/>
      <c r="AL76" s="179"/>
      <c r="AM76" s="168"/>
      <c r="AN76" s="179"/>
      <c r="AO76" s="179"/>
      <c r="AP76" s="179"/>
      <c r="AQ76" s="168"/>
      <c r="AR76" s="179"/>
      <c r="AS76" s="179"/>
      <c r="AT76" s="179"/>
      <c r="AU76" s="179"/>
    </row>
    <row r="77" spans="2:47" x14ac:dyDescent="0.25">
      <c r="J77" s="168"/>
      <c r="K77" s="168"/>
      <c r="L77" s="168"/>
      <c r="M77" s="179"/>
      <c r="Z77" s="179"/>
      <c r="AA77" s="168"/>
      <c r="AB77" s="179"/>
      <c r="AC77" s="179"/>
      <c r="AD77" s="179"/>
      <c r="AE77" s="168"/>
      <c r="AF77" s="179"/>
      <c r="AG77" s="179"/>
      <c r="AH77" s="179"/>
      <c r="AI77" s="168"/>
      <c r="AJ77" s="179"/>
      <c r="AK77" s="179"/>
      <c r="AL77" s="179"/>
      <c r="AM77" s="168"/>
      <c r="AN77" s="179"/>
      <c r="AO77" s="179"/>
      <c r="AP77" s="179"/>
      <c r="AQ77" s="168"/>
      <c r="AR77" s="179" t="s">
        <v>782</v>
      </c>
      <c r="AS77" s="179" t="s">
        <v>783</v>
      </c>
      <c r="AT77" s="179"/>
      <c r="AU77" s="180">
        <v>0.12083431983530357</v>
      </c>
    </row>
    <row r="78" spans="2:47" x14ac:dyDescent="0.25">
      <c r="J78" s="168"/>
      <c r="K78" s="168"/>
      <c r="L78" s="168"/>
      <c r="M78" s="179"/>
      <c r="Z78" s="179"/>
      <c r="AA78" s="168"/>
      <c r="AB78" s="179"/>
      <c r="AC78" s="179"/>
      <c r="AD78" s="179"/>
      <c r="AE78" s="168"/>
      <c r="AF78" s="179"/>
      <c r="AG78" s="179"/>
      <c r="AH78" s="179"/>
      <c r="AI78" s="168"/>
      <c r="AJ78" s="179"/>
      <c r="AK78" s="179"/>
      <c r="AL78" s="179"/>
      <c r="AM78" s="168"/>
      <c r="AN78" s="179"/>
      <c r="AO78" s="179"/>
      <c r="AP78" s="179"/>
      <c r="AQ78" s="168"/>
      <c r="AR78" s="179"/>
      <c r="AS78" s="179"/>
      <c r="AT78" s="179"/>
      <c r="AU78" s="179"/>
    </row>
  </sheetData>
  <autoFilter ref="A15:GT70"/>
  <mergeCells count="8">
    <mergeCell ref="AL14:AO14"/>
    <mergeCell ref="AP14:AS14"/>
    <mergeCell ref="AT14:AU14"/>
    <mergeCell ref="B71:I71"/>
    <mergeCell ref="B9:AC10"/>
    <mergeCell ref="Z14:AC14"/>
    <mergeCell ref="AD14:AG14"/>
    <mergeCell ref="AH14:AK14"/>
  </mergeCells>
  <pageMargins left="0.11811023622047245" right="0.11811023622047245" top="0.15748031496062992" bottom="0.15748031496062992" header="0.31496062992125984" footer="0.31496062992125984"/>
  <pageSetup paperSize="14" scale="37" fitToWidth="2" orientation="landscape" r:id="rId1"/>
  <ignoredErrors>
    <ignoredError sqref="Y16:Y58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 tint="0.79998168889431442"/>
  </sheetPr>
  <dimension ref="B1:AU127"/>
  <sheetViews>
    <sheetView showGridLines="0" topLeftCell="A9" zoomScaleNormal="100" workbookViewId="0">
      <pane ySplit="7" topLeftCell="A16" activePane="bottomLeft" state="frozen"/>
      <selection activeCell="A9" sqref="A9"/>
      <selection pane="bottomLeft" activeCell="G12" sqref="G12"/>
    </sheetView>
  </sheetViews>
  <sheetFormatPr baseColWidth="10" defaultRowHeight="11.25" x14ac:dyDescent="0.2"/>
  <cols>
    <col min="1" max="1" width="5" style="4" customWidth="1"/>
    <col min="2" max="2" width="13.5703125" style="16" customWidth="1"/>
    <col min="3" max="3" width="9.85546875" style="4" customWidth="1"/>
    <col min="4" max="4" width="11.42578125" style="16" customWidth="1"/>
    <col min="5" max="5" width="39.42578125" style="4" customWidth="1"/>
    <col min="6" max="6" width="13.140625" style="4" customWidth="1"/>
    <col min="7" max="7" width="11.28515625" style="4" customWidth="1"/>
    <col min="8" max="8" width="12.85546875" style="4" customWidth="1"/>
    <col min="9" max="10" width="9.7109375" style="4" customWidth="1"/>
    <col min="11" max="25" width="12" style="4" customWidth="1"/>
    <col min="26" max="26" width="10.140625" style="156" customWidth="1"/>
    <col min="27" max="27" width="10.140625" style="9" customWidth="1"/>
    <col min="28" max="30" width="10.140625" style="4" customWidth="1"/>
    <col min="31" max="31" width="10.140625" style="8" customWidth="1"/>
    <col min="32" max="34" width="10.140625" style="4" customWidth="1"/>
    <col min="35" max="35" width="10.140625" style="9" customWidth="1"/>
    <col min="36" max="38" width="10.140625" style="4" customWidth="1"/>
    <col min="39" max="39" width="10.140625" style="9" customWidth="1"/>
    <col min="40" max="42" width="10.140625" style="4" customWidth="1"/>
    <col min="43" max="43" width="10.140625" style="9" customWidth="1"/>
    <col min="44" max="45" width="10.140625" style="4" customWidth="1"/>
    <col min="46" max="16384" width="11.42578125" style="4"/>
  </cols>
  <sheetData>
    <row r="1" spans="2:47" hidden="1" x14ac:dyDescent="0.2">
      <c r="B1" s="516"/>
      <c r="C1" s="516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146"/>
      <c r="AE1" s="2"/>
      <c r="AF1" s="146"/>
      <c r="AG1" s="146"/>
      <c r="AH1" s="146"/>
      <c r="AI1" s="3"/>
      <c r="AJ1" s="146"/>
      <c r="AK1" s="146"/>
      <c r="AL1" s="146"/>
      <c r="AM1" s="3"/>
      <c r="AN1" s="146"/>
      <c r="AO1" s="146"/>
      <c r="AP1" s="146"/>
      <c r="AQ1" s="3"/>
      <c r="AR1" s="146"/>
      <c r="AS1" s="146"/>
    </row>
    <row r="2" spans="2:47" hidden="1" x14ac:dyDescent="0.2"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146"/>
      <c r="AE2" s="2"/>
      <c r="AF2" s="146"/>
      <c r="AG2" s="146"/>
      <c r="AH2" s="146"/>
      <c r="AI2" s="3"/>
      <c r="AJ2" s="146"/>
      <c r="AK2" s="146"/>
      <c r="AL2" s="146"/>
      <c r="AM2" s="3"/>
      <c r="AN2" s="146"/>
      <c r="AO2" s="146"/>
      <c r="AP2" s="146"/>
      <c r="AQ2" s="3"/>
      <c r="AR2" s="146"/>
      <c r="AS2" s="146"/>
    </row>
    <row r="3" spans="2:47" ht="12.75" hidden="1" customHeight="1" x14ac:dyDescent="0.2">
      <c r="B3" s="515"/>
      <c r="C3" s="515"/>
      <c r="D3" s="515"/>
      <c r="E3" s="515"/>
      <c r="F3" s="515"/>
      <c r="G3" s="515"/>
      <c r="H3" s="515"/>
      <c r="I3" s="515"/>
      <c r="J3" s="515"/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145"/>
      <c r="AE3" s="6"/>
      <c r="AF3" s="145"/>
      <c r="AG3" s="145"/>
      <c r="AH3" s="145"/>
      <c r="AI3" s="7"/>
      <c r="AJ3" s="145"/>
      <c r="AK3" s="145"/>
      <c r="AL3" s="145"/>
      <c r="AM3" s="7"/>
      <c r="AN3" s="145"/>
      <c r="AO3" s="145"/>
      <c r="AP3" s="145"/>
      <c r="AQ3" s="7"/>
      <c r="AR3" s="145"/>
      <c r="AS3" s="145"/>
    </row>
    <row r="4" spans="2:47" ht="21.75" hidden="1" customHeight="1" x14ac:dyDescent="0.2"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Q4" s="515"/>
      <c r="R4" s="515"/>
      <c r="S4" s="515"/>
      <c r="T4" s="515"/>
      <c r="U4" s="515"/>
      <c r="V4" s="515"/>
      <c r="W4" s="515"/>
      <c r="X4" s="515"/>
      <c r="Y4" s="515"/>
      <c r="Z4" s="515"/>
      <c r="AA4" s="515"/>
      <c r="AB4" s="515"/>
      <c r="AC4" s="515"/>
      <c r="AD4" s="145"/>
      <c r="AE4" s="6"/>
      <c r="AF4" s="145"/>
      <c r="AG4" s="145"/>
      <c r="AH4" s="145"/>
      <c r="AI4" s="7"/>
      <c r="AJ4" s="145"/>
      <c r="AK4" s="145"/>
      <c r="AL4" s="145"/>
      <c r="AM4" s="7"/>
      <c r="AN4" s="145"/>
      <c r="AO4" s="145"/>
      <c r="AP4" s="145"/>
      <c r="AQ4" s="7"/>
      <c r="AR4" s="145"/>
      <c r="AS4" s="145"/>
    </row>
    <row r="5" spans="2:47" ht="11.25" hidden="1" customHeight="1" x14ac:dyDescent="0.2"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145"/>
      <c r="AE5" s="6"/>
      <c r="AF5" s="145"/>
      <c r="AG5" s="145"/>
      <c r="AH5" s="145"/>
      <c r="AI5" s="7"/>
      <c r="AJ5" s="145"/>
      <c r="AK5" s="145"/>
      <c r="AL5" s="145"/>
      <c r="AM5" s="7"/>
      <c r="AN5" s="145"/>
      <c r="AO5" s="145"/>
      <c r="AP5" s="145"/>
      <c r="AQ5" s="7"/>
      <c r="AR5" s="145"/>
      <c r="AS5" s="145"/>
    </row>
    <row r="6" spans="2:47" ht="15" hidden="1" customHeight="1" x14ac:dyDescent="0.2">
      <c r="B6" s="515"/>
      <c r="C6" s="515"/>
      <c r="D6" s="515"/>
      <c r="E6" s="515"/>
      <c r="F6" s="515"/>
      <c r="G6" s="515"/>
      <c r="H6" s="515"/>
      <c r="I6" s="515"/>
      <c r="J6" s="515"/>
      <c r="K6" s="515"/>
      <c r="L6" s="515"/>
      <c r="M6" s="515"/>
      <c r="N6" s="515"/>
      <c r="O6" s="515"/>
      <c r="P6" s="515"/>
      <c r="Q6" s="515"/>
      <c r="R6" s="515"/>
      <c r="S6" s="515"/>
      <c r="T6" s="515"/>
      <c r="U6" s="515"/>
      <c r="V6" s="515"/>
      <c r="W6" s="515"/>
      <c r="X6" s="515"/>
      <c r="Y6" s="515"/>
      <c r="Z6" s="515"/>
      <c r="AA6" s="515"/>
      <c r="AB6" s="515"/>
      <c r="AC6" s="515"/>
      <c r="AD6" s="145"/>
      <c r="AE6" s="6"/>
      <c r="AF6" s="145"/>
      <c r="AG6" s="145"/>
      <c r="AH6" s="145"/>
      <c r="AI6" s="7"/>
      <c r="AJ6" s="145"/>
      <c r="AK6" s="145"/>
      <c r="AL6" s="145"/>
      <c r="AM6" s="7"/>
      <c r="AN6" s="145"/>
      <c r="AO6" s="145"/>
      <c r="AP6" s="145"/>
      <c r="AQ6" s="7"/>
      <c r="AR6" s="145"/>
      <c r="AS6" s="145"/>
    </row>
    <row r="7" spans="2:47" ht="21" hidden="1" customHeight="1" x14ac:dyDescent="0.2">
      <c r="B7" s="515"/>
      <c r="C7" s="515"/>
      <c r="D7" s="515"/>
      <c r="E7" s="515"/>
      <c r="F7" s="515"/>
      <c r="G7" s="515"/>
      <c r="H7" s="515"/>
      <c r="I7" s="515"/>
      <c r="J7" s="515"/>
      <c r="K7" s="515"/>
      <c r="L7" s="515"/>
      <c r="M7" s="515"/>
      <c r="N7" s="515"/>
      <c r="O7" s="515"/>
      <c r="P7" s="515"/>
      <c r="Q7" s="515"/>
      <c r="R7" s="515"/>
      <c r="S7" s="515"/>
      <c r="T7" s="515"/>
      <c r="U7" s="515"/>
      <c r="V7" s="515"/>
      <c r="W7" s="515"/>
      <c r="X7" s="515"/>
      <c r="Y7" s="515"/>
      <c r="Z7" s="515"/>
      <c r="AA7" s="515"/>
      <c r="AB7" s="515"/>
      <c r="AC7" s="515"/>
      <c r="AD7" s="145"/>
      <c r="AE7" s="6"/>
      <c r="AF7" s="145"/>
      <c r="AG7" s="145"/>
      <c r="AH7" s="145"/>
      <c r="AI7" s="7"/>
      <c r="AJ7" s="145"/>
      <c r="AK7" s="145"/>
      <c r="AL7" s="145"/>
      <c r="AM7" s="7"/>
      <c r="AN7" s="145"/>
      <c r="AO7" s="145"/>
      <c r="AP7" s="145"/>
      <c r="AQ7" s="7"/>
      <c r="AR7" s="145"/>
      <c r="AS7" s="145"/>
    </row>
    <row r="8" spans="2:47" ht="16.5" hidden="1" customHeight="1" x14ac:dyDescent="0.2">
      <c r="B8" s="515"/>
      <c r="C8" s="515"/>
      <c r="D8" s="515"/>
      <c r="E8" s="515"/>
      <c r="F8" s="515"/>
      <c r="G8" s="515"/>
      <c r="H8" s="515"/>
      <c r="I8" s="515"/>
      <c r="J8" s="515"/>
      <c r="K8" s="515"/>
      <c r="L8" s="515"/>
      <c r="M8" s="515"/>
      <c r="N8" s="515"/>
      <c r="O8" s="515"/>
      <c r="P8" s="515"/>
      <c r="Q8" s="515"/>
      <c r="R8" s="515"/>
      <c r="S8" s="515"/>
      <c r="T8" s="515"/>
      <c r="U8" s="515"/>
      <c r="V8" s="515"/>
      <c r="W8" s="515"/>
      <c r="X8" s="515"/>
      <c r="Y8" s="515"/>
      <c r="Z8" s="515"/>
      <c r="AA8" s="515"/>
      <c r="AB8" s="515"/>
      <c r="AC8" s="515"/>
      <c r="AD8" s="145"/>
      <c r="AE8" s="6"/>
      <c r="AF8" s="145"/>
      <c r="AG8" s="145"/>
      <c r="AH8" s="145"/>
      <c r="AI8" s="7"/>
      <c r="AJ8" s="145"/>
      <c r="AK8" s="145"/>
      <c r="AL8" s="145"/>
      <c r="AM8" s="7"/>
      <c r="AN8" s="145"/>
      <c r="AO8" s="145"/>
      <c r="AP8" s="145"/>
      <c r="AQ8" s="7"/>
      <c r="AR8" s="145"/>
      <c r="AS8" s="145"/>
    </row>
    <row r="9" spans="2:47" ht="18.75" customHeight="1" x14ac:dyDescent="0.2">
      <c r="B9" s="520" t="s">
        <v>0</v>
      </c>
      <c r="C9" s="520"/>
      <c r="D9" s="520"/>
      <c r="E9" s="520"/>
      <c r="F9" s="520"/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145"/>
      <c r="AE9" s="6"/>
      <c r="AF9" s="145"/>
      <c r="AG9" s="145"/>
      <c r="AH9" s="145"/>
      <c r="AI9" s="7"/>
      <c r="AJ9" s="145"/>
      <c r="AK9" s="145"/>
      <c r="AL9" s="145"/>
      <c r="AM9" s="7"/>
      <c r="AN9" s="145"/>
      <c r="AO9" s="145"/>
      <c r="AP9" s="145"/>
      <c r="AQ9" s="7"/>
      <c r="AR9" s="145"/>
      <c r="AS9" s="145"/>
    </row>
    <row r="10" spans="2:47" x14ac:dyDescent="0.2">
      <c r="B10" s="520"/>
      <c r="C10" s="520"/>
      <c r="D10" s="520"/>
      <c r="E10" s="520"/>
      <c r="F10" s="520"/>
      <c r="G10" s="520"/>
      <c r="H10" s="520"/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</row>
    <row r="11" spans="2:47" ht="18.75" x14ac:dyDescent="0.2"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50"/>
      <c r="AA11" s="144"/>
      <c r="AB11" s="144"/>
      <c r="AC11" s="144"/>
    </row>
    <row r="12" spans="2:47" ht="22.5" x14ac:dyDescent="0.2">
      <c r="B12" s="10" t="s">
        <v>1</v>
      </c>
      <c r="C12" s="10" t="s">
        <v>2</v>
      </c>
      <c r="D12" s="11" t="s">
        <v>3</v>
      </c>
      <c r="E12" s="12" t="s">
        <v>4</v>
      </c>
      <c r="F12" s="13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50"/>
      <c r="AA12" s="144"/>
      <c r="AB12" s="144"/>
      <c r="AC12" s="144"/>
    </row>
    <row r="13" spans="2:47" ht="18.75" x14ac:dyDescent="0.2">
      <c r="B13" s="151">
        <v>30320009</v>
      </c>
      <c r="C13" s="152">
        <v>30320009</v>
      </c>
      <c r="D13" s="151">
        <v>30320009</v>
      </c>
      <c r="E13" s="153">
        <f>+Y122</f>
        <v>551862</v>
      </c>
      <c r="F13" s="8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50"/>
      <c r="AA13" s="144"/>
      <c r="AB13" s="144"/>
      <c r="AC13" s="144"/>
    </row>
    <row r="14" spans="2:47" ht="15" customHeight="1" x14ac:dyDescent="0.2">
      <c r="C14" s="17"/>
      <c r="D14" s="18"/>
      <c r="E14" s="17"/>
      <c r="F14" s="17"/>
      <c r="Z14" s="531" t="s">
        <v>5</v>
      </c>
      <c r="AA14" s="532"/>
      <c r="AB14" s="532"/>
      <c r="AC14" s="533"/>
      <c r="AD14" s="524" t="s">
        <v>6</v>
      </c>
      <c r="AE14" s="525"/>
      <c r="AF14" s="525"/>
      <c r="AG14" s="526"/>
      <c r="AH14" s="524" t="s">
        <v>6</v>
      </c>
      <c r="AI14" s="525"/>
      <c r="AJ14" s="525"/>
      <c r="AK14" s="526"/>
      <c r="AL14" s="524" t="s">
        <v>6</v>
      </c>
      <c r="AM14" s="525"/>
      <c r="AN14" s="525"/>
      <c r="AO14" s="526"/>
      <c r="AP14" s="524" t="s">
        <v>6</v>
      </c>
      <c r="AQ14" s="525"/>
      <c r="AR14" s="525"/>
      <c r="AS14" s="526"/>
      <c r="AT14" s="518" t="s">
        <v>7</v>
      </c>
      <c r="AU14" s="518"/>
    </row>
    <row r="15" spans="2:47" s="26" customFormat="1" ht="55.5" customHeight="1" x14ac:dyDescent="0.25">
      <c r="B15" s="19" t="s">
        <v>8</v>
      </c>
      <c r="C15" s="19" t="s">
        <v>9</v>
      </c>
      <c r="D15" s="19" t="s">
        <v>10</v>
      </c>
      <c r="E15" s="10" t="s">
        <v>11</v>
      </c>
      <c r="F15" s="20" t="s">
        <v>12</v>
      </c>
      <c r="G15" s="20" t="s">
        <v>13</v>
      </c>
      <c r="H15" s="20" t="s">
        <v>14</v>
      </c>
      <c r="I15" s="20" t="s">
        <v>15</v>
      </c>
      <c r="J15" s="20" t="s">
        <v>16</v>
      </c>
      <c r="K15" s="20" t="s">
        <v>17</v>
      </c>
      <c r="L15" s="20" t="s">
        <v>18</v>
      </c>
      <c r="M15" s="85" t="s">
        <v>19</v>
      </c>
      <c r="N15" s="85" t="s">
        <v>20</v>
      </c>
      <c r="O15" s="85" t="s">
        <v>21</v>
      </c>
      <c r="P15" s="85" t="s">
        <v>22</v>
      </c>
      <c r="Q15" s="85" t="s">
        <v>23</v>
      </c>
      <c r="R15" s="86" t="s">
        <v>24</v>
      </c>
      <c r="S15" s="86" t="s">
        <v>25</v>
      </c>
      <c r="T15" s="86" t="s">
        <v>26</v>
      </c>
      <c r="U15" s="86" t="s">
        <v>27</v>
      </c>
      <c r="V15" s="86" t="s">
        <v>28</v>
      </c>
      <c r="W15" s="86" t="s">
        <v>29</v>
      </c>
      <c r="X15" s="86" t="s">
        <v>30</v>
      </c>
      <c r="Y15" s="21" t="s">
        <v>31</v>
      </c>
      <c r="Z15" s="154" t="s">
        <v>32</v>
      </c>
      <c r="AA15" s="23" t="s">
        <v>33</v>
      </c>
      <c r="AB15" s="22" t="s">
        <v>34</v>
      </c>
      <c r="AC15" s="22" t="s">
        <v>35</v>
      </c>
      <c r="AD15" s="155" t="s">
        <v>36</v>
      </c>
      <c r="AE15" s="25" t="s">
        <v>33</v>
      </c>
      <c r="AF15" s="24" t="s">
        <v>34</v>
      </c>
      <c r="AG15" s="24" t="s">
        <v>35</v>
      </c>
      <c r="AH15" s="24" t="s">
        <v>36</v>
      </c>
      <c r="AI15" s="25" t="s">
        <v>33</v>
      </c>
      <c r="AJ15" s="24" t="s">
        <v>34</v>
      </c>
      <c r="AK15" s="24" t="s">
        <v>35</v>
      </c>
      <c r="AL15" s="24" t="s">
        <v>36</v>
      </c>
      <c r="AM15" s="25" t="s">
        <v>33</v>
      </c>
      <c r="AN15" s="24" t="s">
        <v>34</v>
      </c>
      <c r="AO15" s="24" t="s">
        <v>35</v>
      </c>
      <c r="AP15" s="24" t="s">
        <v>36</v>
      </c>
      <c r="AQ15" s="25" t="s">
        <v>33</v>
      </c>
      <c r="AR15" s="24" t="s">
        <v>34</v>
      </c>
      <c r="AS15" s="24" t="s">
        <v>35</v>
      </c>
      <c r="AT15" s="49" t="s">
        <v>37</v>
      </c>
      <c r="AU15" s="49" t="s">
        <v>38</v>
      </c>
    </row>
    <row r="16" spans="2:47" s="26" customFormat="1" x14ac:dyDescent="0.25">
      <c r="B16" s="276">
        <v>1</v>
      </c>
      <c r="C16" s="423" t="s">
        <v>508</v>
      </c>
      <c r="D16" s="424">
        <v>40001916</v>
      </c>
      <c r="E16" s="219" t="s">
        <v>509</v>
      </c>
      <c r="F16" s="304" t="s">
        <v>147</v>
      </c>
      <c r="G16" s="30" t="s">
        <v>510</v>
      </c>
      <c r="H16" s="425" t="s">
        <v>511</v>
      </c>
      <c r="I16" s="274" t="s">
        <v>72</v>
      </c>
      <c r="J16" s="426">
        <v>149114</v>
      </c>
      <c r="K16" s="31">
        <v>43601</v>
      </c>
      <c r="L16" s="31">
        <v>0</v>
      </c>
      <c r="M16" s="31">
        <v>0</v>
      </c>
      <c r="N16" s="31">
        <v>0</v>
      </c>
      <c r="O16" s="31">
        <v>5643</v>
      </c>
      <c r="P16" s="31"/>
      <c r="Q16" s="31"/>
      <c r="R16" s="31"/>
      <c r="S16" s="31"/>
      <c r="T16" s="31"/>
      <c r="U16" s="31"/>
      <c r="V16" s="31"/>
      <c r="W16" s="31"/>
      <c r="X16" s="31"/>
      <c r="Y16" s="31">
        <f>SUM(M16:X16)</f>
        <v>5643</v>
      </c>
      <c r="Z16" s="427">
        <v>99497</v>
      </c>
      <c r="AA16" s="104" t="s">
        <v>177</v>
      </c>
      <c r="AB16" s="41">
        <v>44232</v>
      </c>
      <c r="AC16" s="89">
        <v>44250</v>
      </c>
      <c r="AD16" s="219"/>
      <c r="AE16" s="35"/>
      <c r="AF16" s="34"/>
      <c r="AG16" s="89"/>
      <c r="AH16" s="32"/>
      <c r="AI16" s="33"/>
      <c r="AJ16" s="36"/>
      <c r="AK16" s="89"/>
      <c r="AL16" s="32"/>
      <c r="AM16" s="33"/>
      <c r="AN16" s="36"/>
      <c r="AO16" s="89"/>
      <c r="AP16" s="32"/>
      <c r="AQ16" s="33"/>
      <c r="AR16" s="36"/>
      <c r="AS16" s="89"/>
      <c r="AT16" s="270">
        <f>+Z16+AD16+AH16+AL16+AP16</f>
        <v>99497</v>
      </c>
      <c r="AU16" s="38">
        <f>+AT16-Y16</f>
        <v>93854</v>
      </c>
    </row>
    <row r="17" spans="2:47" s="26" customFormat="1" ht="22.5" x14ac:dyDescent="0.25">
      <c r="B17" s="276">
        <v>2</v>
      </c>
      <c r="C17" s="423" t="s">
        <v>508</v>
      </c>
      <c r="D17" s="424">
        <v>40007511</v>
      </c>
      <c r="E17" s="219" t="s">
        <v>512</v>
      </c>
      <c r="F17" s="304" t="s">
        <v>147</v>
      </c>
      <c r="G17" s="30" t="s">
        <v>510</v>
      </c>
      <c r="H17" s="425" t="s">
        <v>513</v>
      </c>
      <c r="I17" s="274" t="s">
        <v>72</v>
      </c>
      <c r="J17" s="426">
        <v>31945</v>
      </c>
      <c r="K17" s="31">
        <v>0</v>
      </c>
      <c r="L17" s="31">
        <v>0</v>
      </c>
      <c r="M17" s="31">
        <v>0</v>
      </c>
      <c r="N17" s="31">
        <v>0</v>
      </c>
      <c r="O17" s="31">
        <v>7550</v>
      </c>
      <c r="P17" s="31"/>
      <c r="Q17" s="31"/>
      <c r="R17" s="31"/>
      <c r="S17" s="31"/>
      <c r="T17" s="31"/>
      <c r="U17" s="31"/>
      <c r="V17" s="31"/>
      <c r="W17" s="31"/>
      <c r="X17" s="31"/>
      <c r="Y17" s="31">
        <f t="shared" ref="Y17:Y80" si="0">SUM(M17:X17)</f>
        <v>7550</v>
      </c>
      <c r="Z17" s="427">
        <v>10000</v>
      </c>
      <c r="AA17" s="104" t="s">
        <v>177</v>
      </c>
      <c r="AB17" s="41">
        <v>44232</v>
      </c>
      <c r="AC17" s="89">
        <v>44250</v>
      </c>
      <c r="AD17" s="219"/>
      <c r="AE17" s="35"/>
      <c r="AF17" s="36"/>
      <c r="AG17" s="89"/>
      <c r="AH17" s="32"/>
      <c r="AI17" s="33"/>
      <c r="AJ17" s="36"/>
      <c r="AK17" s="89"/>
      <c r="AL17" s="32"/>
      <c r="AM17" s="33"/>
      <c r="AN17" s="36"/>
      <c r="AO17" s="89"/>
      <c r="AP17" s="32"/>
      <c r="AQ17" s="33"/>
      <c r="AR17" s="36"/>
      <c r="AS17" s="89"/>
      <c r="AT17" s="270">
        <f t="shared" ref="AT17:AT80" si="1">+Z17+AD17+AH17+AL17+AP17</f>
        <v>10000</v>
      </c>
      <c r="AU17" s="38">
        <f t="shared" ref="AU17:AU80" si="2">+AT17-Y17</f>
        <v>2450</v>
      </c>
    </row>
    <row r="18" spans="2:47" s="26" customFormat="1" ht="22.5" x14ac:dyDescent="0.25">
      <c r="B18" s="276">
        <v>3</v>
      </c>
      <c r="C18" s="428" t="s">
        <v>514</v>
      </c>
      <c r="D18" s="424">
        <v>20119065</v>
      </c>
      <c r="E18" s="219" t="s">
        <v>515</v>
      </c>
      <c r="F18" s="304" t="s">
        <v>193</v>
      </c>
      <c r="G18" s="30" t="s">
        <v>510</v>
      </c>
      <c r="H18" s="30" t="s">
        <v>516</v>
      </c>
      <c r="I18" s="274" t="s">
        <v>72</v>
      </c>
      <c r="J18" s="426">
        <v>43950</v>
      </c>
      <c r="K18" s="31">
        <v>14888</v>
      </c>
      <c r="L18" s="31">
        <v>0</v>
      </c>
      <c r="M18" s="31">
        <v>0</v>
      </c>
      <c r="N18" s="31">
        <v>0</v>
      </c>
      <c r="O18" s="31">
        <v>0</v>
      </c>
      <c r="P18" s="31"/>
      <c r="Q18" s="31"/>
      <c r="R18" s="31"/>
      <c r="S18" s="31"/>
      <c r="T18" s="31"/>
      <c r="U18" s="31"/>
      <c r="V18" s="31"/>
      <c r="W18" s="31"/>
      <c r="X18" s="31"/>
      <c r="Y18" s="31">
        <f t="shared" si="0"/>
        <v>0</v>
      </c>
      <c r="Z18" s="429">
        <v>27040</v>
      </c>
      <c r="AA18" s="104" t="s">
        <v>177</v>
      </c>
      <c r="AB18" s="41">
        <v>44232</v>
      </c>
      <c r="AC18" s="89">
        <v>44250</v>
      </c>
      <c r="AD18" s="219"/>
      <c r="AE18" s="40"/>
      <c r="AF18" s="34"/>
      <c r="AG18" s="90"/>
      <c r="AH18" s="91"/>
      <c r="AI18" s="39"/>
      <c r="AJ18" s="34"/>
      <c r="AK18" s="90"/>
      <c r="AL18" s="91"/>
      <c r="AM18" s="39"/>
      <c r="AN18" s="34"/>
      <c r="AO18" s="89"/>
      <c r="AP18" s="91"/>
      <c r="AQ18" s="33"/>
      <c r="AR18" s="41"/>
      <c r="AS18" s="89"/>
      <c r="AT18" s="270">
        <f t="shared" si="1"/>
        <v>27040</v>
      </c>
      <c r="AU18" s="38">
        <f t="shared" si="2"/>
        <v>27040</v>
      </c>
    </row>
    <row r="19" spans="2:47" s="26" customFormat="1" ht="20.25" customHeight="1" x14ac:dyDescent="0.25">
      <c r="B19" s="276">
        <v>4</v>
      </c>
      <c r="C19" s="430" t="s">
        <v>514</v>
      </c>
      <c r="D19" s="424">
        <v>30002297</v>
      </c>
      <c r="E19" s="219" t="s">
        <v>517</v>
      </c>
      <c r="F19" s="304" t="s">
        <v>147</v>
      </c>
      <c r="G19" s="30" t="s">
        <v>510</v>
      </c>
      <c r="H19" s="30" t="s">
        <v>518</v>
      </c>
      <c r="I19" s="274" t="s">
        <v>57</v>
      </c>
      <c r="J19" s="426">
        <v>2504025</v>
      </c>
      <c r="K19" s="31">
        <v>0</v>
      </c>
      <c r="L19" s="31">
        <v>438576</v>
      </c>
      <c r="M19" s="31">
        <v>0</v>
      </c>
      <c r="N19" s="31">
        <v>0</v>
      </c>
      <c r="O19" s="31">
        <v>50064</v>
      </c>
      <c r="P19" s="31"/>
      <c r="Q19" s="31"/>
      <c r="R19" s="31"/>
      <c r="S19" s="31"/>
      <c r="T19" s="31"/>
      <c r="U19" s="31"/>
      <c r="V19" s="31"/>
      <c r="W19" s="31"/>
      <c r="X19" s="31"/>
      <c r="Y19" s="31">
        <f t="shared" si="0"/>
        <v>50064</v>
      </c>
      <c r="Z19" s="429">
        <v>315000</v>
      </c>
      <c r="AA19" s="104" t="s">
        <v>177</v>
      </c>
      <c r="AB19" s="41">
        <v>44232</v>
      </c>
      <c r="AC19" s="89">
        <v>44250</v>
      </c>
      <c r="AD19" s="219"/>
      <c r="AE19" s="40"/>
      <c r="AF19" s="34"/>
      <c r="AG19" s="90"/>
      <c r="AH19" s="92"/>
      <c r="AI19" s="39"/>
      <c r="AJ19" s="34"/>
      <c r="AK19" s="90"/>
      <c r="AL19" s="92"/>
      <c r="AM19" s="39"/>
      <c r="AN19" s="34"/>
      <c r="AO19" s="89"/>
      <c r="AP19" s="92"/>
      <c r="AQ19" s="33"/>
      <c r="AR19" s="41"/>
      <c r="AS19" s="89"/>
      <c r="AT19" s="270">
        <f t="shared" si="1"/>
        <v>315000</v>
      </c>
      <c r="AU19" s="38">
        <f t="shared" si="2"/>
        <v>264936</v>
      </c>
    </row>
    <row r="20" spans="2:47" s="26" customFormat="1" ht="22.5" x14ac:dyDescent="0.25">
      <c r="B20" s="276">
        <v>5</v>
      </c>
      <c r="C20" s="428" t="s">
        <v>514</v>
      </c>
      <c r="D20" s="424">
        <v>30202824</v>
      </c>
      <c r="E20" s="219" t="s">
        <v>519</v>
      </c>
      <c r="F20" s="304" t="s">
        <v>193</v>
      </c>
      <c r="G20" s="30" t="s">
        <v>510</v>
      </c>
      <c r="H20" s="30" t="s">
        <v>520</v>
      </c>
      <c r="I20" s="274" t="s">
        <v>72</v>
      </c>
      <c r="J20" s="426">
        <v>199807</v>
      </c>
      <c r="K20" s="31">
        <v>107857</v>
      </c>
      <c r="L20" s="31">
        <v>6590</v>
      </c>
      <c r="M20" s="31">
        <v>0</v>
      </c>
      <c r="N20" s="31">
        <v>0</v>
      </c>
      <c r="O20" s="31">
        <v>15462</v>
      </c>
      <c r="P20" s="31"/>
      <c r="Q20" s="31"/>
      <c r="R20" s="31"/>
      <c r="S20" s="31"/>
      <c r="T20" s="31"/>
      <c r="U20" s="31"/>
      <c r="V20" s="31"/>
      <c r="W20" s="31"/>
      <c r="X20" s="31"/>
      <c r="Y20" s="31">
        <f t="shared" si="0"/>
        <v>15462</v>
      </c>
      <c r="Z20" s="429">
        <v>67851</v>
      </c>
      <c r="AA20" s="104" t="s">
        <v>177</v>
      </c>
      <c r="AB20" s="41">
        <v>44232</v>
      </c>
      <c r="AC20" s="89">
        <v>44250</v>
      </c>
      <c r="AD20" s="219"/>
      <c r="AE20" s="40"/>
      <c r="AF20" s="34"/>
      <c r="AG20" s="90"/>
      <c r="AH20" s="92"/>
      <c r="AI20" s="39"/>
      <c r="AJ20" s="34"/>
      <c r="AK20" s="90"/>
      <c r="AL20" s="92"/>
      <c r="AM20" s="39"/>
      <c r="AN20" s="34"/>
      <c r="AO20" s="89"/>
      <c r="AP20" s="92"/>
      <c r="AQ20" s="33"/>
      <c r="AR20" s="41"/>
      <c r="AS20" s="89"/>
      <c r="AT20" s="270">
        <f t="shared" si="1"/>
        <v>67851</v>
      </c>
      <c r="AU20" s="38">
        <f t="shared" si="2"/>
        <v>52389</v>
      </c>
    </row>
    <row r="21" spans="2:47" s="26" customFormat="1" ht="22.5" x14ac:dyDescent="0.25">
      <c r="B21" s="276">
        <v>6</v>
      </c>
      <c r="C21" s="430" t="s">
        <v>514</v>
      </c>
      <c r="D21" s="424">
        <v>30245474</v>
      </c>
      <c r="E21" s="219" t="s">
        <v>521</v>
      </c>
      <c r="F21" s="304" t="s">
        <v>147</v>
      </c>
      <c r="G21" s="30" t="s">
        <v>510</v>
      </c>
      <c r="H21" s="30" t="s">
        <v>522</v>
      </c>
      <c r="I21" s="274" t="s">
        <v>72</v>
      </c>
      <c r="J21" s="426">
        <v>1064303</v>
      </c>
      <c r="K21" s="31">
        <v>1059853</v>
      </c>
      <c r="L21" s="31">
        <v>0</v>
      </c>
      <c r="M21" s="31">
        <v>0</v>
      </c>
      <c r="N21" s="31">
        <v>0</v>
      </c>
      <c r="O21" s="31">
        <v>0</v>
      </c>
      <c r="P21" s="31"/>
      <c r="Q21" s="31"/>
      <c r="R21" s="31"/>
      <c r="S21" s="31"/>
      <c r="T21" s="31"/>
      <c r="U21" s="31"/>
      <c r="V21" s="31"/>
      <c r="W21" s="31"/>
      <c r="X21" s="31"/>
      <c r="Y21" s="31">
        <f t="shared" si="0"/>
        <v>0</v>
      </c>
      <c r="Z21" s="429">
        <v>1</v>
      </c>
      <c r="AA21" s="104" t="s">
        <v>177</v>
      </c>
      <c r="AB21" s="41">
        <v>44232</v>
      </c>
      <c r="AC21" s="89">
        <v>44250</v>
      </c>
      <c r="AD21" s="219"/>
      <c r="AE21" s="35"/>
      <c r="AF21" s="41"/>
      <c r="AG21" s="89"/>
      <c r="AH21" s="92"/>
      <c r="AI21" s="33"/>
      <c r="AJ21" s="41"/>
      <c r="AK21" s="89"/>
      <c r="AL21" s="92"/>
      <c r="AM21" s="33"/>
      <c r="AN21" s="41"/>
      <c r="AO21" s="89"/>
      <c r="AP21" s="92"/>
      <c r="AQ21" s="33"/>
      <c r="AR21" s="41"/>
      <c r="AS21" s="89"/>
      <c r="AT21" s="270">
        <f t="shared" si="1"/>
        <v>1</v>
      </c>
      <c r="AU21" s="38">
        <f t="shared" si="2"/>
        <v>1</v>
      </c>
    </row>
    <row r="22" spans="2:47" s="26" customFormat="1" x14ac:dyDescent="0.25">
      <c r="B22" s="276">
        <v>7</v>
      </c>
      <c r="C22" s="428" t="s">
        <v>514</v>
      </c>
      <c r="D22" s="424">
        <v>30286222</v>
      </c>
      <c r="E22" s="219" t="s">
        <v>523</v>
      </c>
      <c r="F22" s="304" t="s">
        <v>147</v>
      </c>
      <c r="G22" s="30" t="s">
        <v>510</v>
      </c>
      <c r="H22" s="30" t="s">
        <v>524</v>
      </c>
      <c r="I22" s="274" t="s">
        <v>72</v>
      </c>
      <c r="J22" s="426">
        <v>2599119</v>
      </c>
      <c r="K22" s="31">
        <v>189057</v>
      </c>
      <c r="L22" s="31">
        <v>1393401</v>
      </c>
      <c r="M22" s="31">
        <v>0</v>
      </c>
      <c r="N22" s="31">
        <v>0</v>
      </c>
      <c r="O22" s="31">
        <v>0</v>
      </c>
      <c r="P22" s="31"/>
      <c r="Q22" s="31"/>
      <c r="R22" s="31"/>
      <c r="S22" s="31"/>
      <c r="T22" s="31"/>
      <c r="U22" s="31"/>
      <c r="V22" s="31"/>
      <c r="W22" s="31"/>
      <c r="X22" s="31"/>
      <c r="Y22" s="31">
        <f t="shared" si="0"/>
        <v>0</v>
      </c>
      <c r="Z22" s="429">
        <v>500000</v>
      </c>
      <c r="AA22" s="104" t="s">
        <v>177</v>
      </c>
      <c r="AB22" s="41">
        <v>44232</v>
      </c>
      <c r="AC22" s="89">
        <v>44250</v>
      </c>
      <c r="AD22" s="219"/>
      <c r="AE22" s="35"/>
      <c r="AF22" s="36"/>
      <c r="AG22" s="89"/>
      <c r="AH22" s="32"/>
      <c r="AI22" s="33"/>
      <c r="AJ22" s="36"/>
      <c r="AK22" s="89"/>
      <c r="AL22" s="32"/>
      <c r="AM22" s="33"/>
      <c r="AN22" s="36"/>
      <c r="AO22" s="89"/>
      <c r="AP22" s="32"/>
      <c r="AQ22" s="33"/>
      <c r="AR22" s="36"/>
      <c r="AS22" s="89"/>
      <c r="AT22" s="270">
        <f t="shared" si="1"/>
        <v>500000</v>
      </c>
      <c r="AU22" s="38">
        <f t="shared" si="2"/>
        <v>500000</v>
      </c>
    </row>
    <row r="23" spans="2:47" s="26" customFormat="1" ht="21.75" customHeight="1" x14ac:dyDescent="0.25">
      <c r="B23" s="276">
        <v>8</v>
      </c>
      <c r="C23" s="430" t="s">
        <v>514</v>
      </c>
      <c r="D23" s="424">
        <v>30391922</v>
      </c>
      <c r="E23" s="219" t="s">
        <v>525</v>
      </c>
      <c r="F23" s="304" t="s">
        <v>147</v>
      </c>
      <c r="G23" s="30" t="s">
        <v>510</v>
      </c>
      <c r="H23" s="30" t="s">
        <v>526</v>
      </c>
      <c r="I23" s="274" t="s">
        <v>72</v>
      </c>
      <c r="J23" s="426">
        <v>1141064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1"/>
      <c r="Q23" s="31"/>
      <c r="R23" s="31"/>
      <c r="S23" s="31"/>
      <c r="T23" s="31"/>
      <c r="U23" s="31"/>
      <c r="V23" s="31"/>
      <c r="W23" s="31"/>
      <c r="X23" s="31"/>
      <c r="Y23" s="31">
        <f t="shared" si="0"/>
        <v>0</v>
      </c>
      <c r="Z23" s="429">
        <v>110567</v>
      </c>
      <c r="AA23" s="104" t="s">
        <v>177</v>
      </c>
      <c r="AB23" s="41">
        <v>44232</v>
      </c>
      <c r="AC23" s="89">
        <v>44250</v>
      </c>
      <c r="AD23" s="219"/>
      <c r="AE23" s="35"/>
      <c r="AF23" s="36"/>
      <c r="AG23" s="89"/>
      <c r="AH23" s="32"/>
      <c r="AI23" s="33"/>
      <c r="AJ23" s="36"/>
      <c r="AK23" s="89"/>
      <c r="AL23" s="32"/>
      <c r="AM23" s="33"/>
      <c r="AN23" s="36"/>
      <c r="AO23" s="89"/>
      <c r="AP23" s="32"/>
      <c r="AQ23" s="33"/>
      <c r="AR23" s="36"/>
      <c r="AS23" s="89"/>
      <c r="AT23" s="270">
        <f t="shared" si="1"/>
        <v>110567</v>
      </c>
      <c r="AU23" s="38">
        <f t="shared" si="2"/>
        <v>110567</v>
      </c>
    </row>
    <row r="24" spans="2:47" s="26" customFormat="1" ht="23.25" customHeight="1" x14ac:dyDescent="0.25">
      <c r="B24" s="276">
        <v>9</v>
      </c>
      <c r="C24" s="428" t="s">
        <v>514</v>
      </c>
      <c r="D24" s="424">
        <v>30451574</v>
      </c>
      <c r="E24" s="219" t="s">
        <v>527</v>
      </c>
      <c r="F24" s="304" t="s">
        <v>147</v>
      </c>
      <c r="G24" s="30" t="s">
        <v>510</v>
      </c>
      <c r="H24" s="30" t="s">
        <v>528</v>
      </c>
      <c r="I24" s="274" t="s">
        <v>72</v>
      </c>
      <c r="J24" s="426">
        <v>1958473</v>
      </c>
      <c r="K24" s="31">
        <v>0</v>
      </c>
      <c r="L24" s="31">
        <v>1566779</v>
      </c>
      <c r="M24" s="31">
        <v>0</v>
      </c>
      <c r="N24" s="31">
        <v>0</v>
      </c>
      <c r="O24" s="31">
        <v>0</v>
      </c>
      <c r="P24" s="31"/>
      <c r="Q24" s="31"/>
      <c r="R24" s="31"/>
      <c r="S24" s="31"/>
      <c r="T24" s="31"/>
      <c r="U24" s="31"/>
      <c r="V24" s="31"/>
      <c r="W24" s="31"/>
      <c r="X24" s="31"/>
      <c r="Y24" s="31">
        <f t="shared" si="0"/>
        <v>0</v>
      </c>
      <c r="Z24" s="429">
        <v>1</v>
      </c>
      <c r="AA24" s="104" t="s">
        <v>177</v>
      </c>
      <c r="AB24" s="41">
        <v>44232</v>
      </c>
      <c r="AC24" s="89">
        <v>44250</v>
      </c>
      <c r="AD24" s="219"/>
      <c r="AE24" s="35"/>
      <c r="AF24" s="36"/>
      <c r="AG24" s="89"/>
      <c r="AH24" s="32"/>
      <c r="AI24" s="33"/>
      <c r="AJ24" s="36"/>
      <c r="AK24" s="89"/>
      <c r="AL24" s="32"/>
      <c r="AM24" s="33"/>
      <c r="AN24" s="36"/>
      <c r="AO24" s="89"/>
      <c r="AP24" s="32"/>
      <c r="AQ24" s="33"/>
      <c r="AR24" s="36"/>
      <c r="AS24" s="89"/>
      <c r="AT24" s="270">
        <f t="shared" si="1"/>
        <v>1</v>
      </c>
      <c r="AU24" s="38">
        <f t="shared" si="2"/>
        <v>1</v>
      </c>
    </row>
    <row r="25" spans="2:47" s="26" customFormat="1" x14ac:dyDescent="0.25">
      <c r="B25" s="276">
        <v>10</v>
      </c>
      <c r="C25" s="430" t="s">
        <v>514</v>
      </c>
      <c r="D25" s="424">
        <v>30479895</v>
      </c>
      <c r="E25" s="219" t="s">
        <v>529</v>
      </c>
      <c r="F25" s="304" t="s">
        <v>193</v>
      </c>
      <c r="G25" s="30" t="s">
        <v>510</v>
      </c>
      <c r="H25" s="42" t="s">
        <v>526</v>
      </c>
      <c r="I25" s="274" t="s">
        <v>72</v>
      </c>
      <c r="J25" s="426">
        <v>128290</v>
      </c>
      <c r="K25" s="31">
        <v>53991</v>
      </c>
      <c r="L25" s="31">
        <v>0</v>
      </c>
      <c r="M25" s="31">
        <v>0</v>
      </c>
      <c r="N25" s="31">
        <v>0</v>
      </c>
      <c r="O25" s="31">
        <v>0</v>
      </c>
      <c r="P25" s="31"/>
      <c r="Q25" s="31"/>
      <c r="R25" s="31"/>
      <c r="S25" s="31"/>
      <c r="T25" s="31"/>
      <c r="U25" s="31"/>
      <c r="V25" s="31"/>
      <c r="W25" s="31"/>
      <c r="X25" s="31"/>
      <c r="Y25" s="31">
        <f t="shared" si="0"/>
        <v>0</v>
      </c>
      <c r="Z25" s="429">
        <v>17120</v>
      </c>
      <c r="AA25" s="104" t="s">
        <v>177</v>
      </c>
      <c r="AB25" s="41">
        <v>44232</v>
      </c>
      <c r="AC25" s="89">
        <v>44250</v>
      </c>
      <c r="AD25" s="219"/>
      <c r="AE25" s="35"/>
      <c r="AF25" s="36"/>
      <c r="AG25" s="89"/>
      <c r="AH25" s="32"/>
      <c r="AI25" s="33"/>
      <c r="AJ25" s="36"/>
      <c r="AK25" s="89"/>
      <c r="AL25" s="32"/>
      <c r="AM25" s="33"/>
      <c r="AN25" s="36"/>
      <c r="AO25" s="89"/>
      <c r="AP25" s="32"/>
      <c r="AQ25" s="33"/>
      <c r="AR25" s="36"/>
      <c r="AS25" s="89"/>
      <c r="AT25" s="270">
        <f t="shared" si="1"/>
        <v>17120</v>
      </c>
      <c r="AU25" s="38">
        <f t="shared" si="2"/>
        <v>17120</v>
      </c>
    </row>
    <row r="26" spans="2:47" s="26" customFormat="1" ht="22.5" x14ac:dyDescent="0.25">
      <c r="B26" s="276">
        <v>11</v>
      </c>
      <c r="C26" s="428" t="s">
        <v>514</v>
      </c>
      <c r="D26" s="424">
        <v>30480903</v>
      </c>
      <c r="E26" s="219" t="s">
        <v>530</v>
      </c>
      <c r="F26" s="304" t="s">
        <v>147</v>
      </c>
      <c r="G26" s="30" t="s">
        <v>510</v>
      </c>
      <c r="H26" s="42" t="s">
        <v>531</v>
      </c>
      <c r="I26" s="274" t="s">
        <v>72</v>
      </c>
      <c r="J26" s="426">
        <v>1647015</v>
      </c>
      <c r="K26" s="31">
        <v>1186054</v>
      </c>
      <c r="L26" s="31">
        <v>0</v>
      </c>
      <c r="M26" s="31">
        <v>0</v>
      </c>
      <c r="N26" s="31">
        <v>0</v>
      </c>
      <c r="O26" s="31">
        <v>31380</v>
      </c>
      <c r="P26" s="31"/>
      <c r="Q26" s="31"/>
      <c r="R26" s="31"/>
      <c r="S26" s="31"/>
      <c r="T26" s="31"/>
      <c r="U26" s="31"/>
      <c r="V26" s="31"/>
      <c r="W26" s="31"/>
      <c r="X26" s="31"/>
      <c r="Y26" s="31">
        <f t="shared" si="0"/>
        <v>31380</v>
      </c>
      <c r="Z26" s="429">
        <v>460135</v>
      </c>
      <c r="AA26" s="104" t="s">
        <v>177</v>
      </c>
      <c r="AB26" s="41">
        <v>44232</v>
      </c>
      <c r="AC26" s="89">
        <v>44250</v>
      </c>
      <c r="AD26" s="219"/>
      <c r="AE26" s="35"/>
      <c r="AF26" s="36"/>
      <c r="AG26" s="89"/>
      <c r="AH26" s="32"/>
      <c r="AI26" s="33"/>
      <c r="AJ26" s="36"/>
      <c r="AK26" s="89"/>
      <c r="AL26" s="32"/>
      <c r="AM26" s="33"/>
      <c r="AN26" s="36"/>
      <c r="AO26" s="89"/>
      <c r="AP26" s="32"/>
      <c r="AQ26" s="33"/>
      <c r="AR26" s="36"/>
      <c r="AS26" s="89"/>
      <c r="AT26" s="270">
        <f t="shared" si="1"/>
        <v>460135</v>
      </c>
      <c r="AU26" s="38">
        <f t="shared" si="2"/>
        <v>428755</v>
      </c>
    </row>
    <row r="27" spans="2:47" s="26" customFormat="1" ht="22.5" x14ac:dyDescent="0.25">
      <c r="B27" s="276">
        <v>12</v>
      </c>
      <c r="C27" s="430" t="s">
        <v>514</v>
      </c>
      <c r="D27" s="424">
        <v>30485888</v>
      </c>
      <c r="E27" s="219" t="s">
        <v>532</v>
      </c>
      <c r="F27" s="304" t="s">
        <v>193</v>
      </c>
      <c r="G27" s="30" t="s">
        <v>510</v>
      </c>
      <c r="H27" s="42" t="s">
        <v>526</v>
      </c>
      <c r="I27" s="274" t="s">
        <v>72</v>
      </c>
      <c r="J27" s="426">
        <v>58236</v>
      </c>
      <c r="K27" s="31">
        <v>14494</v>
      </c>
      <c r="L27" s="31">
        <v>0</v>
      </c>
      <c r="M27" s="31">
        <v>0</v>
      </c>
      <c r="N27" s="31">
        <v>0</v>
      </c>
      <c r="O27" s="31">
        <v>0</v>
      </c>
      <c r="P27" s="31"/>
      <c r="Q27" s="31"/>
      <c r="R27" s="31"/>
      <c r="S27" s="31"/>
      <c r="T27" s="31"/>
      <c r="U27" s="31"/>
      <c r="V27" s="31"/>
      <c r="W27" s="31"/>
      <c r="X27" s="31"/>
      <c r="Y27" s="31">
        <f t="shared" si="0"/>
        <v>0</v>
      </c>
      <c r="Z27" s="429">
        <v>33075</v>
      </c>
      <c r="AA27" s="104" t="s">
        <v>177</v>
      </c>
      <c r="AB27" s="41">
        <v>44232</v>
      </c>
      <c r="AC27" s="89">
        <v>44250</v>
      </c>
      <c r="AD27" s="219"/>
      <c r="AE27" s="35"/>
      <c r="AF27" s="36"/>
      <c r="AG27" s="89"/>
      <c r="AH27" s="32"/>
      <c r="AI27" s="33"/>
      <c r="AJ27" s="36"/>
      <c r="AK27" s="89"/>
      <c r="AL27" s="32"/>
      <c r="AM27" s="33"/>
      <c r="AN27" s="36"/>
      <c r="AO27" s="89"/>
      <c r="AP27" s="32"/>
      <c r="AQ27" s="33"/>
      <c r="AR27" s="36"/>
      <c r="AS27" s="89"/>
      <c r="AT27" s="270">
        <f t="shared" si="1"/>
        <v>33075</v>
      </c>
      <c r="AU27" s="38">
        <f t="shared" si="2"/>
        <v>33075</v>
      </c>
    </row>
    <row r="28" spans="2:47" s="26" customFormat="1" ht="22.5" x14ac:dyDescent="0.25">
      <c r="B28" s="276">
        <v>13</v>
      </c>
      <c r="C28" s="428" t="s">
        <v>514</v>
      </c>
      <c r="D28" s="424">
        <v>40001573</v>
      </c>
      <c r="E28" s="219" t="s">
        <v>533</v>
      </c>
      <c r="F28" s="304" t="s">
        <v>193</v>
      </c>
      <c r="G28" s="30" t="s">
        <v>510</v>
      </c>
      <c r="H28" s="42" t="s">
        <v>534</v>
      </c>
      <c r="I28" s="274" t="s">
        <v>72</v>
      </c>
      <c r="J28" s="426">
        <v>238524</v>
      </c>
      <c r="K28" s="31">
        <v>143449</v>
      </c>
      <c r="L28" s="31">
        <v>0</v>
      </c>
      <c r="M28" s="31">
        <v>0</v>
      </c>
      <c r="N28" s="31">
        <v>0</v>
      </c>
      <c r="O28" s="31">
        <v>0</v>
      </c>
      <c r="P28" s="31"/>
      <c r="Q28" s="31"/>
      <c r="R28" s="31"/>
      <c r="S28" s="31"/>
      <c r="T28" s="31"/>
      <c r="U28" s="31"/>
      <c r="V28" s="31"/>
      <c r="W28" s="31"/>
      <c r="X28" s="31"/>
      <c r="Y28" s="31">
        <f t="shared" si="0"/>
        <v>0</v>
      </c>
      <c r="Z28" s="429">
        <v>20000</v>
      </c>
      <c r="AA28" s="104" t="s">
        <v>177</v>
      </c>
      <c r="AB28" s="41">
        <v>44232</v>
      </c>
      <c r="AC28" s="89">
        <v>44250</v>
      </c>
      <c r="AD28" s="219"/>
      <c r="AE28" s="35"/>
      <c r="AF28" s="36"/>
      <c r="AG28" s="89"/>
      <c r="AH28" s="32"/>
      <c r="AI28" s="33"/>
      <c r="AJ28" s="36"/>
      <c r="AK28" s="89"/>
      <c r="AL28" s="32"/>
      <c r="AM28" s="33"/>
      <c r="AN28" s="36"/>
      <c r="AO28" s="89"/>
      <c r="AP28" s="32"/>
      <c r="AQ28" s="33"/>
      <c r="AR28" s="36"/>
      <c r="AS28" s="89"/>
      <c r="AT28" s="270">
        <f t="shared" si="1"/>
        <v>20000</v>
      </c>
      <c r="AU28" s="38">
        <f t="shared" si="2"/>
        <v>20000</v>
      </c>
    </row>
    <row r="29" spans="2:47" s="26" customFormat="1" ht="22.5" x14ac:dyDescent="0.25">
      <c r="B29" s="276">
        <v>14</v>
      </c>
      <c r="C29" s="430" t="s">
        <v>514</v>
      </c>
      <c r="D29" s="424">
        <v>40004175</v>
      </c>
      <c r="E29" s="219" t="s">
        <v>535</v>
      </c>
      <c r="F29" s="304" t="s">
        <v>147</v>
      </c>
      <c r="G29" s="30" t="s">
        <v>510</v>
      </c>
      <c r="H29" s="42" t="s">
        <v>536</v>
      </c>
      <c r="I29" s="274" t="s">
        <v>72</v>
      </c>
      <c r="J29" s="426">
        <v>1025997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1"/>
      <c r="Q29" s="31"/>
      <c r="R29" s="31"/>
      <c r="S29" s="31"/>
      <c r="T29" s="31"/>
      <c r="U29" s="31"/>
      <c r="V29" s="31"/>
      <c r="W29" s="31"/>
      <c r="X29" s="31"/>
      <c r="Y29" s="31">
        <f t="shared" si="0"/>
        <v>0</v>
      </c>
      <c r="Z29" s="429">
        <v>925000</v>
      </c>
      <c r="AA29" s="104" t="s">
        <v>177</v>
      </c>
      <c r="AB29" s="41">
        <v>44232</v>
      </c>
      <c r="AC29" s="89">
        <v>44250</v>
      </c>
      <c r="AD29" s="219"/>
      <c r="AE29" s="35"/>
      <c r="AF29" s="36"/>
      <c r="AG29" s="89"/>
      <c r="AH29" s="32"/>
      <c r="AI29" s="33"/>
      <c r="AJ29" s="36"/>
      <c r="AK29" s="89"/>
      <c r="AL29" s="32"/>
      <c r="AM29" s="33"/>
      <c r="AN29" s="36"/>
      <c r="AO29" s="89"/>
      <c r="AP29" s="32"/>
      <c r="AQ29" s="33"/>
      <c r="AR29" s="36"/>
      <c r="AS29" s="89"/>
      <c r="AT29" s="270">
        <f t="shared" si="1"/>
        <v>925000</v>
      </c>
      <c r="AU29" s="38">
        <f t="shared" si="2"/>
        <v>925000</v>
      </c>
    </row>
    <row r="30" spans="2:47" s="26" customFormat="1" ht="22.5" x14ac:dyDescent="0.25">
      <c r="B30" s="276">
        <v>15</v>
      </c>
      <c r="C30" s="428" t="s">
        <v>514</v>
      </c>
      <c r="D30" s="424">
        <v>40004289</v>
      </c>
      <c r="E30" s="219" t="s">
        <v>537</v>
      </c>
      <c r="F30" s="304" t="s">
        <v>147</v>
      </c>
      <c r="G30" s="30" t="s">
        <v>510</v>
      </c>
      <c r="H30" s="42" t="s">
        <v>526</v>
      </c>
      <c r="I30" s="274" t="s">
        <v>72</v>
      </c>
      <c r="J30" s="426">
        <v>1333795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1"/>
      <c r="Q30" s="31"/>
      <c r="R30" s="31"/>
      <c r="S30" s="31"/>
      <c r="T30" s="31"/>
      <c r="U30" s="31"/>
      <c r="V30" s="31"/>
      <c r="W30" s="31"/>
      <c r="X30" s="31"/>
      <c r="Y30" s="31">
        <f t="shared" si="0"/>
        <v>0</v>
      </c>
      <c r="Z30" s="429">
        <v>100000</v>
      </c>
      <c r="AA30" s="104" t="s">
        <v>177</v>
      </c>
      <c r="AB30" s="41">
        <v>44232</v>
      </c>
      <c r="AC30" s="89">
        <v>44250</v>
      </c>
      <c r="AD30" s="219"/>
      <c r="AE30" s="35"/>
      <c r="AF30" s="36"/>
      <c r="AG30" s="89"/>
      <c r="AH30" s="32"/>
      <c r="AI30" s="33"/>
      <c r="AJ30" s="36"/>
      <c r="AK30" s="89"/>
      <c r="AL30" s="32"/>
      <c r="AM30" s="33"/>
      <c r="AN30" s="36"/>
      <c r="AO30" s="89"/>
      <c r="AP30" s="32"/>
      <c r="AQ30" s="33"/>
      <c r="AR30" s="36"/>
      <c r="AS30" s="89"/>
      <c r="AT30" s="270">
        <f t="shared" si="1"/>
        <v>100000</v>
      </c>
      <c r="AU30" s="38">
        <f t="shared" si="2"/>
        <v>100000</v>
      </c>
    </row>
    <row r="31" spans="2:47" s="26" customFormat="1" ht="21.75" customHeight="1" x14ac:dyDescent="0.25">
      <c r="B31" s="276">
        <v>16</v>
      </c>
      <c r="C31" s="430" t="s">
        <v>514</v>
      </c>
      <c r="D31" s="424">
        <v>40007647</v>
      </c>
      <c r="E31" s="219" t="s">
        <v>538</v>
      </c>
      <c r="F31" s="304" t="s">
        <v>147</v>
      </c>
      <c r="G31" s="30" t="s">
        <v>510</v>
      </c>
      <c r="H31" s="42" t="s">
        <v>539</v>
      </c>
      <c r="I31" s="274" t="s">
        <v>72</v>
      </c>
      <c r="J31" s="426">
        <v>874126</v>
      </c>
      <c r="K31" s="31">
        <v>260966</v>
      </c>
      <c r="L31" s="31">
        <v>0</v>
      </c>
      <c r="M31" s="31">
        <v>0</v>
      </c>
      <c r="N31" s="31">
        <v>0</v>
      </c>
      <c r="O31" s="31">
        <v>80459</v>
      </c>
      <c r="P31" s="31"/>
      <c r="Q31" s="31"/>
      <c r="R31" s="31"/>
      <c r="S31" s="31"/>
      <c r="T31" s="31"/>
      <c r="U31" s="31"/>
      <c r="V31" s="31"/>
      <c r="W31" s="31"/>
      <c r="X31" s="31"/>
      <c r="Y31" s="31">
        <f t="shared" si="0"/>
        <v>80459</v>
      </c>
      <c r="Z31" s="429">
        <v>421696</v>
      </c>
      <c r="AA31" s="104" t="s">
        <v>177</v>
      </c>
      <c r="AB31" s="41">
        <v>44232</v>
      </c>
      <c r="AC31" s="89">
        <v>44250</v>
      </c>
      <c r="AD31" s="219"/>
      <c r="AE31" s="35"/>
      <c r="AF31" s="36"/>
      <c r="AG31" s="89"/>
      <c r="AH31" s="32"/>
      <c r="AI31" s="33"/>
      <c r="AJ31" s="36"/>
      <c r="AK31" s="89"/>
      <c r="AL31" s="32"/>
      <c r="AM31" s="33"/>
      <c r="AN31" s="36"/>
      <c r="AO31" s="89"/>
      <c r="AP31" s="32"/>
      <c r="AQ31" s="33"/>
      <c r="AR31" s="36"/>
      <c r="AS31" s="89"/>
      <c r="AT31" s="270">
        <f t="shared" si="1"/>
        <v>421696</v>
      </c>
      <c r="AU31" s="38">
        <f t="shared" si="2"/>
        <v>341237</v>
      </c>
    </row>
    <row r="32" spans="2:47" s="26" customFormat="1" ht="22.5" x14ac:dyDescent="0.25">
      <c r="B32" s="276">
        <v>17</v>
      </c>
      <c r="C32" s="428" t="s">
        <v>514</v>
      </c>
      <c r="D32" s="424">
        <v>40008541</v>
      </c>
      <c r="E32" s="219" t="s">
        <v>540</v>
      </c>
      <c r="F32" s="304" t="s">
        <v>147</v>
      </c>
      <c r="G32" s="30" t="s">
        <v>510</v>
      </c>
      <c r="H32" s="42" t="s">
        <v>541</v>
      </c>
      <c r="I32" s="274" t="s">
        <v>72</v>
      </c>
      <c r="J32" s="426">
        <v>378451</v>
      </c>
      <c r="K32" s="31">
        <v>47845</v>
      </c>
      <c r="L32" s="31">
        <v>0</v>
      </c>
      <c r="M32" s="31">
        <v>0</v>
      </c>
      <c r="N32" s="31">
        <v>0</v>
      </c>
      <c r="O32" s="31">
        <v>231590</v>
      </c>
      <c r="P32" s="31"/>
      <c r="Q32" s="31"/>
      <c r="R32" s="31"/>
      <c r="S32" s="31"/>
      <c r="T32" s="31"/>
      <c r="U32" s="31"/>
      <c r="V32" s="31"/>
      <c r="W32" s="31"/>
      <c r="X32" s="31"/>
      <c r="Y32" s="31">
        <f t="shared" si="0"/>
        <v>231590</v>
      </c>
      <c r="Z32" s="429">
        <v>301953</v>
      </c>
      <c r="AA32" s="104" t="s">
        <v>177</v>
      </c>
      <c r="AB32" s="41">
        <v>44232</v>
      </c>
      <c r="AC32" s="89">
        <v>44250</v>
      </c>
      <c r="AD32" s="219"/>
      <c r="AE32" s="35"/>
      <c r="AF32" s="36"/>
      <c r="AG32" s="89"/>
      <c r="AH32" s="32"/>
      <c r="AI32" s="33"/>
      <c r="AJ32" s="36"/>
      <c r="AK32" s="89"/>
      <c r="AL32" s="32"/>
      <c r="AM32" s="33"/>
      <c r="AN32" s="36"/>
      <c r="AO32" s="89"/>
      <c r="AP32" s="32"/>
      <c r="AQ32" s="33"/>
      <c r="AR32" s="36"/>
      <c r="AS32" s="89"/>
      <c r="AT32" s="270">
        <f t="shared" si="1"/>
        <v>301953</v>
      </c>
      <c r="AU32" s="38">
        <f t="shared" si="2"/>
        <v>70363</v>
      </c>
    </row>
    <row r="33" spans="2:47" s="26" customFormat="1" ht="22.5" x14ac:dyDescent="0.25">
      <c r="B33" s="276">
        <v>18</v>
      </c>
      <c r="C33" s="430" t="s">
        <v>514</v>
      </c>
      <c r="D33" s="424">
        <v>40009975</v>
      </c>
      <c r="E33" s="219" t="s">
        <v>542</v>
      </c>
      <c r="F33" s="304" t="s">
        <v>147</v>
      </c>
      <c r="G33" s="30" t="s">
        <v>510</v>
      </c>
      <c r="H33" s="42" t="s">
        <v>543</v>
      </c>
      <c r="I33" s="274" t="s">
        <v>72</v>
      </c>
      <c r="J33" s="426">
        <v>400670</v>
      </c>
      <c r="K33" s="31">
        <v>0</v>
      </c>
      <c r="L33" s="31">
        <v>0</v>
      </c>
      <c r="M33" s="31">
        <v>0</v>
      </c>
      <c r="N33" s="31">
        <f>40000+85699</f>
        <v>125699</v>
      </c>
      <c r="O33" s="31">
        <v>0</v>
      </c>
      <c r="P33" s="31"/>
      <c r="Q33" s="31"/>
      <c r="R33" s="31"/>
      <c r="S33" s="31"/>
      <c r="T33" s="31"/>
      <c r="U33" s="31"/>
      <c r="V33" s="31"/>
      <c r="W33" s="31"/>
      <c r="X33" s="31"/>
      <c r="Y33" s="31">
        <f t="shared" si="0"/>
        <v>125699</v>
      </c>
      <c r="Z33" s="429">
        <v>372602</v>
      </c>
      <c r="AA33" s="104" t="s">
        <v>177</v>
      </c>
      <c r="AB33" s="41">
        <v>44232</v>
      </c>
      <c r="AC33" s="89">
        <v>44250</v>
      </c>
      <c r="AD33" s="219"/>
      <c r="AE33" s="35"/>
      <c r="AF33" s="36"/>
      <c r="AG33" s="89"/>
      <c r="AH33" s="32"/>
      <c r="AI33" s="33"/>
      <c r="AJ33" s="36"/>
      <c r="AK33" s="89"/>
      <c r="AL33" s="32"/>
      <c r="AM33" s="33"/>
      <c r="AN33" s="36"/>
      <c r="AO33" s="89"/>
      <c r="AP33" s="32"/>
      <c r="AQ33" s="33"/>
      <c r="AR33" s="36"/>
      <c r="AS33" s="89"/>
      <c r="AT33" s="270">
        <f t="shared" si="1"/>
        <v>372602</v>
      </c>
      <c r="AU33" s="38">
        <f t="shared" si="2"/>
        <v>246903</v>
      </c>
    </row>
    <row r="34" spans="2:47" s="26" customFormat="1" ht="22.5" x14ac:dyDescent="0.25">
      <c r="B34" s="276">
        <v>19</v>
      </c>
      <c r="C34" s="428" t="s">
        <v>514</v>
      </c>
      <c r="D34" s="424">
        <v>40010038</v>
      </c>
      <c r="E34" s="219" t="s">
        <v>544</v>
      </c>
      <c r="F34" s="304" t="s">
        <v>193</v>
      </c>
      <c r="G34" s="30" t="s">
        <v>510</v>
      </c>
      <c r="H34" s="42" t="s">
        <v>543</v>
      </c>
      <c r="I34" s="274" t="s">
        <v>72</v>
      </c>
      <c r="J34" s="426">
        <v>73066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1"/>
      <c r="Q34" s="31"/>
      <c r="R34" s="31"/>
      <c r="S34" s="31"/>
      <c r="T34" s="31"/>
      <c r="U34" s="31"/>
      <c r="V34" s="31"/>
      <c r="W34" s="31"/>
      <c r="X34" s="31"/>
      <c r="Y34" s="31">
        <f t="shared" si="0"/>
        <v>0</v>
      </c>
      <c r="Z34" s="429">
        <v>46560</v>
      </c>
      <c r="AA34" s="104" t="s">
        <v>177</v>
      </c>
      <c r="AB34" s="41">
        <v>44232</v>
      </c>
      <c r="AC34" s="89">
        <v>44250</v>
      </c>
      <c r="AD34" s="219"/>
      <c r="AE34" s="35"/>
      <c r="AF34" s="36"/>
      <c r="AG34" s="89"/>
      <c r="AH34" s="32"/>
      <c r="AI34" s="33"/>
      <c r="AJ34" s="36"/>
      <c r="AK34" s="89"/>
      <c r="AL34" s="32"/>
      <c r="AM34" s="33"/>
      <c r="AN34" s="36"/>
      <c r="AO34" s="89"/>
      <c r="AP34" s="32"/>
      <c r="AQ34" s="33"/>
      <c r="AR34" s="36"/>
      <c r="AS34" s="89"/>
      <c r="AT34" s="270">
        <f t="shared" si="1"/>
        <v>46560</v>
      </c>
      <c r="AU34" s="38">
        <f t="shared" si="2"/>
        <v>46560</v>
      </c>
    </row>
    <row r="35" spans="2:47" s="26" customFormat="1" x14ac:dyDescent="0.25">
      <c r="B35" s="276">
        <v>20</v>
      </c>
      <c r="C35" s="430" t="s">
        <v>514</v>
      </c>
      <c r="D35" s="424">
        <v>40010470</v>
      </c>
      <c r="E35" s="219" t="s">
        <v>545</v>
      </c>
      <c r="F35" s="304" t="s">
        <v>193</v>
      </c>
      <c r="G35" s="30" t="s">
        <v>510</v>
      </c>
      <c r="H35" s="42" t="s">
        <v>526</v>
      </c>
      <c r="I35" s="274" t="s">
        <v>72</v>
      </c>
      <c r="J35" s="426">
        <v>595657</v>
      </c>
      <c r="K35" s="31">
        <v>225436</v>
      </c>
      <c r="L35" s="31">
        <v>0</v>
      </c>
      <c r="M35" s="31">
        <v>0</v>
      </c>
      <c r="N35" s="31">
        <v>0</v>
      </c>
      <c r="O35" s="31">
        <v>0</v>
      </c>
      <c r="P35" s="31"/>
      <c r="Q35" s="31"/>
      <c r="R35" s="31"/>
      <c r="S35" s="31"/>
      <c r="T35" s="31"/>
      <c r="U35" s="31"/>
      <c r="V35" s="31"/>
      <c r="W35" s="31"/>
      <c r="X35" s="31"/>
      <c r="Y35" s="31">
        <f t="shared" si="0"/>
        <v>0</v>
      </c>
      <c r="Z35" s="429">
        <v>2835</v>
      </c>
      <c r="AA35" s="104" t="s">
        <v>177</v>
      </c>
      <c r="AB35" s="41">
        <v>44232</v>
      </c>
      <c r="AC35" s="89">
        <v>44250</v>
      </c>
      <c r="AD35" s="219"/>
      <c r="AE35" s="35"/>
      <c r="AF35" s="36"/>
      <c r="AG35" s="89"/>
      <c r="AH35" s="32"/>
      <c r="AI35" s="33"/>
      <c r="AJ35" s="36"/>
      <c r="AK35" s="89"/>
      <c r="AL35" s="32"/>
      <c r="AM35" s="33"/>
      <c r="AN35" s="36"/>
      <c r="AO35" s="89"/>
      <c r="AP35" s="32"/>
      <c r="AQ35" s="33"/>
      <c r="AR35" s="36"/>
      <c r="AS35" s="89"/>
      <c r="AT35" s="270">
        <f t="shared" si="1"/>
        <v>2835</v>
      </c>
      <c r="AU35" s="38">
        <f t="shared" si="2"/>
        <v>2835</v>
      </c>
    </row>
    <row r="36" spans="2:47" s="26" customFormat="1" ht="22.5" x14ac:dyDescent="0.25">
      <c r="B36" s="276">
        <v>21</v>
      </c>
      <c r="C36" s="428" t="s">
        <v>514</v>
      </c>
      <c r="D36" s="424">
        <v>40010478</v>
      </c>
      <c r="E36" s="219" t="s">
        <v>546</v>
      </c>
      <c r="F36" s="304" t="s">
        <v>147</v>
      </c>
      <c r="G36" s="30" t="s">
        <v>510</v>
      </c>
      <c r="H36" s="42" t="s">
        <v>513</v>
      </c>
      <c r="I36" s="274" t="s">
        <v>72</v>
      </c>
      <c r="J36" s="426">
        <v>985660</v>
      </c>
      <c r="K36" s="31">
        <v>16421</v>
      </c>
      <c r="L36" s="31">
        <v>0</v>
      </c>
      <c r="M36" s="31">
        <v>0</v>
      </c>
      <c r="N36" s="31">
        <v>0</v>
      </c>
      <c r="O36" s="31">
        <v>4015</v>
      </c>
      <c r="P36" s="31"/>
      <c r="Q36" s="31"/>
      <c r="R36" s="31"/>
      <c r="S36" s="31"/>
      <c r="T36" s="31"/>
      <c r="U36" s="31"/>
      <c r="V36" s="31"/>
      <c r="W36" s="31"/>
      <c r="X36" s="31"/>
      <c r="Y36" s="31">
        <f t="shared" si="0"/>
        <v>4015</v>
      </c>
      <c r="Z36" s="429">
        <v>124090</v>
      </c>
      <c r="AA36" s="104" t="s">
        <v>177</v>
      </c>
      <c r="AB36" s="41">
        <v>44232</v>
      </c>
      <c r="AC36" s="89">
        <v>44250</v>
      </c>
      <c r="AD36" s="219"/>
      <c r="AE36" s="35"/>
      <c r="AF36" s="36"/>
      <c r="AG36" s="89"/>
      <c r="AH36" s="32"/>
      <c r="AI36" s="33"/>
      <c r="AJ36" s="36"/>
      <c r="AK36" s="89"/>
      <c r="AL36" s="32"/>
      <c r="AM36" s="33"/>
      <c r="AN36" s="36"/>
      <c r="AO36" s="89"/>
      <c r="AP36" s="32"/>
      <c r="AQ36" s="33"/>
      <c r="AR36" s="36"/>
      <c r="AS36" s="89"/>
      <c r="AT36" s="270">
        <f t="shared" si="1"/>
        <v>124090</v>
      </c>
      <c r="AU36" s="38">
        <f t="shared" si="2"/>
        <v>120075</v>
      </c>
    </row>
    <row r="37" spans="2:47" s="26" customFormat="1" ht="22.5" x14ac:dyDescent="0.25">
      <c r="B37" s="276">
        <v>22</v>
      </c>
      <c r="C37" s="430" t="s">
        <v>514</v>
      </c>
      <c r="D37" s="424">
        <v>40011215</v>
      </c>
      <c r="E37" s="219" t="s">
        <v>547</v>
      </c>
      <c r="F37" s="304" t="s">
        <v>147</v>
      </c>
      <c r="G37" s="30" t="s">
        <v>510</v>
      </c>
      <c r="H37" s="42" t="s">
        <v>526</v>
      </c>
      <c r="I37" s="274" t="s">
        <v>72</v>
      </c>
      <c r="J37" s="426">
        <v>332758</v>
      </c>
      <c r="K37" s="31">
        <v>191011</v>
      </c>
      <c r="L37" s="31">
        <v>0</v>
      </c>
      <c r="M37" s="31">
        <v>0</v>
      </c>
      <c r="N37" s="31">
        <v>0</v>
      </c>
      <c r="O37" s="31">
        <v>0</v>
      </c>
      <c r="P37" s="31"/>
      <c r="Q37" s="31"/>
      <c r="R37" s="31"/>
      <c r="S37" s="31"/>
      <c r="T37" s="31"/>
      <c r="U37" s="31"/>
      <c r="V37" s="31"/>
      <c r="W37" s="31"/>
      <c r="X37" s="31"/>
      <c r="Y37" s="31">
        <f t="shared" si="0"/>
        <v>0</v>
      </c>
      <c r="Z37" s="429">
        <v>42091</v>
      </c>
      <c r="AA37" s="104" t="s">
        <v>177</v>
      </c>
      <c r="AB37" s="41">
        <v>44232</v>
      </c>
      <c r="AC37" s="89">
        <v>44250</v>
      </c>
      <c r="AD37" s="219"/>
      <c r="AE37" s="35"/>
      <c r="AF37" s="36"/>
      <c r="AG37" s="89"/>
      <c r="AH37" s="32"/>
      <c r="AI37" s="33"/>
      <c r="AJ37" s="36"/>
      <c r="AK37" s="89"/>
      <c r="AL37" s="32"/>
      <c r="AM37" s="33"/>
      <c r="AN37" s="36"/>
      <c r="AO37" s="89"/>
      <c r="AP37" s="32"/>
      <c r="AQ37" s="33"/>
      <c r="AR37" s="36"/>
      <c r="AS37" s="89"/>
      <c r="AT37" s="270">
        <f t="shared" si="1"/>
        <v>42091</v>
      </c>
      <c r="AU37" s="38">
        <f t="shared" si="2"/>
        <v>42091</v>
      </c>
    </row>
    <row r="38" spans="2:47" s="26" customFormat="1" ht="23.25" customHeight="1" x14ac:dyDescent="0.25">
      <c r="B38" s="276">
        <v>23</v>
      </c>
      <c r="C38" s="428" t="s">
        <v>514</v>
      </c>
      <c r="D38" s="424">
        <v>40011254</v>
      </c>
      <c r="E38" s="219" t="s">
        <v>548</v>
      </c>
      <c r="F38" s="304"/>
      <c r="G38" s="30" t="s">
        <v>510</v>
      </c>
      <c r="H38" s="42" t="s">
        <v>549</v>
      </c>
      <c r="I38" s="274" t="s">
        <v>72</v>
      </c>
      <c r="J38" s="426">
        <v>1645695</v>
      </c>
      <c r="K38" s="31">
        <v>321971</v>
      </c>
      <c r="L38" s="31">
        <v>0</v>
      </c>
      <c r="M38" s="31">
        <v>0</v>
      </c>
      <c r="N38" s="31">
        <v>0</v>
      </c>
      <c r="O38" s="31">
        <v>0</v>
      </c>
      <c r="P38" s="31"/>
      <c r="Q38" s="31"/>
      <c r="R38" s="31"/>
      <c r="S38" s="31"/>
      <c r="T38" s="31"/>
      <c r="U38" s="31"/>
      <c r="V38" s="31"/>
      <c r="W38" s="31"/>
      <c r="X38" s="31"/>
      <c r="Y38" s="31">
        <f t="shared" si="0"/>
        <v>0</v>
      </c>
      <c r="Z38" s="429">
        <v>948747</v>
      </c>
      <c r="AA38" s="104" t="s">
        <v>177</v>
      </c>
      <c r="AB38" s="41">
        <v>44232</v>
      </c>
      <c r="AC38" s="89">
        <v>44250</v>
      </c>
      <c r="AD38" s="219"/>
      <c r="AE38" s="35"/>
      <c r="AF38" s="36"/>
      <c r="AG38" s="89"/>
      <c r="AH38" s="32"/>
      <c r="AI38" s="33"/>
      <c r="AJ38" s="36"/>
      <c r="AK38" s="89"/>
      <c r="AL38" s="32"/>
      <c r="AM38" s="33"/>
      <c r="AN38" s="36"/>
      <c r="AO38" s="89"/>
      <c r="AP38" s="32"/>
      <c r="AQ38" s="33"/>
      <c r="AR38" s="36"/>
      <c r="AS38" s="89"/>
      <c r="AT38" s="270">
        <f t="shared" si="1"/>
        <v>948747</v>
      </c>
      <c r="AU38" s="38">
        <f t="shared" si="2"/>
        <v>948747</v>
      </c>
    </row>
    <row r="39" spans="2:47" s="26" customFormat="1" ht="22.5" x14ac:dyDescent="0.25">
      <c r="B39" s="276">
        <v>24</v>
      </c>
      <c r="C39" s="430" t="s">
        <v>514</v>
      </c>
      <c r="D39" s="424">
        <v>40011276</v>
      </c>
      <c r="E39" s="219" t="s">
        <v>550</v>
      </c>
      <c r="F39" s="304" t="s">
        <v>147</v>
      </c>
      <c r="G39" s="30" t="s">
        <v>510</v>
      </c>
      <c r="H39" s="42" t="s">
        <v>526</v>
      </c>
      <c r="I39" s="274" t="s">
        <v>72</v>
      </c>
      <c r="J39" s="426">
        <v>1798286</v>
      </c>
      <c r="K39" s="31">
        <v>378012</v>
      </c>
      <c r="L39" s="31">
        <v>0</v>
      </c>
      <c r="M39" s="31">
        <v>0</v>
      </c>
      <c r="N39" s="31">
        <v>0</v>
      </c>
      <c r="O39" s="31">
        <v>0</v>
      </c>
      <c r="P39" s="31"/>
      <c r="Q39" s="31"/>
      <c r="R39" s="31"/>
      <c r="S39" s="31"/>
      <c r="T39" s="31"/>
      <c r="U39" s="31"/>
      <c r="V39" s="31"/>
      <c r="W39" s="31"/>
      <c r="X39" s="31"/>
      <c r="Y39" s="31">
        <f t="shared" si="0"/>
        <v>0</v>
      </c>
      <c r="Z39" s="429">
        <v>680445</v>
      </c>
      <c r="AA39" s="104" t="s">
        <v>177</v>
      </c>
      <c r="AB39" s="41">
        <v>44232</v>
      </c>
      <c r="AC39" s="89">
        <v>44250</v>
      </c>
      <c r="AD39" s="219"/>
      <c r="AE39" s="35"/>
      <c r="AF39" s="36"/>
      <c r="AG39" s="89"/>
      <c r="AH39" s="32"/>
      <c r="AI39" s="33"/>
      <c r="AJ39" s="36"/>
      <c r="AK39" s="89"/>
      <c r="AL39" s="32"/>
      <c r="AM39" s="33"/>
      <c r="AN39" s="36"/>
      <c r="AO39" s="89"/>
      <c r="AP39" s="32"/>
      <c r="AQ39" s="33"/>
      <c r="AR39" s="36"/>
      <c r="AS39" s="89"/>
      <c r="AT39" s="270">
        <f t="shared" si="1"/>
        <v>680445</v>
      </c>
      <c r="AU39" s="38">
        <f t="shared" si="2"/>
        <v>680445</v>
      </c>
    </row>
    <row r="40" spans="2:47" s="26" customFormat="1" ht="22.5" x14ac:dyDescent="0.25">
      <c r="B40" s="276">
        <v>25</v>
      </c>
      <c r="C40" s="428" t="s">
        <v>514</v>
      </c>
      <c r="D40" s="424">
        <v>40011412</v>
      </c>
      <c r="E40" s="219" t="s">
        <v>551</v>
      </c>
      <c r="F40" s="304" t="s">
        <v>147</v>
      </c>
      <c r="G40" s="30" t="s">
        <v>510</v>
      </c>
      <c r="H40" s="42" t="s">
        <v>552</v>
      </c>
      <c r="I40" s="274" t="s">
        <v>72</v>
      </c>
      <c r="J40" s="426">
        <v>842895</v>
      </c>
      <c r="K40" s="31">
        <v>456751</v>
      </c>
      <c r="L40" s="31">
        <v>0</v>
      </c>
      <c r="M40" s="31">
        <v>0</v>
      </c>
      <c r="N40" s="31">
        <v>0</v>
      </c>
      <c r="O40" s="31">
        <v>0</v>
      </c>
      <c r="P40" s="31"/>
      <c r="Q40" s="31"/>
      <c r="R40" s="31"/>
      <c r="S40" s="31"/>
      <c r="T40" s="31"/>
      <c r="U40" s="31"/>
      <c r="V40" s="31"/>
      <c r="W40" s="31"/>
      <c r="X40" s="31"/>
      <c r="Y40" s="31">
        <f t="shared" si="0"/>
        <v>0</v>
      </c>
      <c r="Z40" s="429">
        <v>72169</v>
      </c>
      <c r="AA40" s="104" t="s">
        <v>177</v>
      </c>
      <c r="AB40" s="41">
        <v>44232</v>
      </c>
      <c r="AC40" s="89">
        <v>44250</v>
      </c>
      <c r="AD40" s="219"/>
      <c r="AE40" s="35"/>
      <c r="AF40" s="36"/>
      <c r="AG40" s="89"/>
      <c r="AH40" s="32"/>
      <c r="AI40" s="33"/>
      <c r="AJ40" s="36"/>
      <c r="AK40" s="89"/>
      <c r="AL40" s="32"/>
      <c r="AM40" s="33"/>
      <c r="AN40" s="36"/>
      <c r="AO40" s="89"/>
      <c r="AP40" s="32"/>
      <c r="AQ40" s="33"/>
      <c r="AR40" s="36"/>
      <c r="AS40" s="89"/>
      <c r="AT40" s="270">
        <f t="shared" si="1"/>
        <v>72169</v>
      </c>
      <c r="AU40" s="38">
        <f t="shared" si="2"/>
        <v>72169</v>
      </c>
    </row>
    <row r="41" spans="2:47" s="26" customFormat="1" ht="21.75" customHeight="1" x14ac:dyDescent="0.25">
      <c r="B41" s="276">
        <v>26</v>
      </c>
      <c r="C41" s="430" t="s">
        <v>514</v>
      </c>
      <c r="D41" s="424">
        <v>40015342</v>
      </c>
      <c r="E41" s="219" t="s">
        <v>553</v>
      </c>
      <c r="F41" s="304" t="s">
        <v>147</v>
      </c>
      <c r="G41" s="30" t="s">
        <v>510</v>
      </c>
      <c r="H41" s="42" t="s">
        <v>543</v>
      </c>
      <c r="I41" s="274" t="s">
        <v>72</v>
      </c>
      <c r="J41" s="426">
        <v>834043</v>
      </c>
      <c r="K41" s="31">
        <v>13319</v>
      </c>
      <c r="L41" s="31">
        <v>0</v>
      </c>
      <c r="M41" s="31">
        <v>0</v>
      </c>
      <c r="N41" s="31">
        <v>0</v>
      </c>
      <c r="O41" s="31">
        <v>0</v>
      </c>
      <c r="P41" s="31"/>
      <c r="Q41" s="31"/>
      <c r="R41" s="31"/>
      <c r="S41" s="31"/>
      <c r="T41" s="31"/>
      <c r="U41" s="31"/>
      <c r="V41" s="31"/>
      <c r="W41" s="31"/>
      <c r="X41" s="31"/>
      <c r="Y41" s="31">
        <f t="shared" si="0"/>
        <v>0</v>
      </c>
      <c r="Z41" s="429">
        <v>420000</v>
      </c>
      <c r="AA41" s="104" t="s">
        <v>177</v>
      </c>
      <c r="AB41" s="41">
        <v>44232</v>
      </c>
      <c r="AC41" s="89">
        <v>44250</v>
      </c>
      <c r="AD41" s="219"/>
      <c r="AE41" s="35"/>
      <c r="AF41" s="36"/>
      <c r="AG41" s="89"/>
      <c r="AH41" s="32"/>
      <c r="AI41" s="33"/>
      <c r="AJ41" s="36"/>
      <c r="AK41" s="89"/>
      <c r="AL41" s="32"/>
      <c r="AM41" s="33"/>
      <c r="AN41" s="36"/>
      <c r="AO41" s="89"/>
      <c r="AP41" s="32"/>
      <c r="AQ41" s="33"/>
      <c r="AR41" s="36"/>
      <c r="AS41" s="89"/>
      <c r="AT41" s="270">
        <f t="shared" si="1"/>
        <v>420000</v>
      </c>
      <c r="AU41" s="38">
        <f t="shared" si="2"/>
        <v>420000</v>
      </c>
    </row>
    <row r="42" spans="2:47" s="26" customFormat="1" ht="22.5" x14ac:dyDescent="0.25">
      <c r="B42" s="276">
        <v>27</v>
      </c>
      <c r="C42" s="428" t="s">
        <v>514</v>
      </c>
      <c r="D42" s="424">
        <v>40015344</v>
      </c>
      <c r="E42" s="219" t="s">
        <v>554</v>
      </c>
      <c r="F42" s="304" t="s">
        <v>147</v>
      </c>
      <c r="G42" s="30" t="s">
        <v>510</v>
      </c>
      <c r="H42" s="42" t="s">
        <v>518</v>
      </c>
      <c r="I42" s="274" t="s">
        <v>72</v>
      </c>
      <c r="J42" s="426">
        <v>921182</v>
      </c>
      <c r="K42" s="31">
        <v>12194</v>
      </c>
      <c r="L42" s="31">
        <v>0</v>
      </c>
      <c r="M42" s="31">
        <v>0</v>
      </c>
      <c r="N42" s="31">
        <v>0</v>
      </c>
      <c r="O42" s="31">
        <v>0</v>
      </c>
      <c r="P42" s="31"/>
      <c r="Q42" s="31"/>
      <c r="R42" s="31"/>
      <c r="S42" s="31"/>
      <c r="T42" s="31"/>
      <c r="U42" s="31"/>
      <c r="V42" s="31"/>
      <c r="W42" s="31"/>
      <c r="X42" s="31"/>
      <c r="Y42" s="31">
        <f t="shared" si="0"/>
        <v>0</v>
      </c>
      <c r="Z42" s="429">
        <v>7027</v>
      </c>
      <c r="AA42" s="104" t="s">
        <v>177</v>
      </c>
      <c r="AB42" s="41">
        <v>44232</v>
      </c>
      <c r="AC42" s="89">
        <v>44250</v>
      </c>
      <c r="AD42" s="219">
        <v>35000</v>
      </c>
      <c r="AE42" s="35">
        <v>9</v>
      </c>
      <c r="AF42" s="41">
        <v>44271</v>
      </c>
      <c r="AG42" s="89">
        <v>44284</v>
      </c>
      <c r="AH42" s="32"/>
      <c r="AI42" s="33"/>
      <c r="AJ42" s="36"/>
      <c r="AK42" s="89"/>
      <c r="AL42" s="32"/>
      <c r="AM42" s="33"/>
      <c r="AN42" s="36"/>
      <c r="AO42" s="89"/>
      <c r="AP42" s="32"/>
      <c r="AQ42" s="33"/>
      <c r="AR42" s="36"/>
      <c r="AS42" s="89"/>
      <c r="AT42" s="270">
        <f t="shared" si="1"/>
        <v>42027</v>
      </c>
      <c r="AU42" s="38">
        <f t="shared" si="2"/>
        <v>42027</v>
      </c>
    </row>
    <row r="43" spans="2:47" s="26" customFormat="1" ht="18.75" customHeight="1" x14ac:dyDescent="0.25">
      <c r="B43" s="276">
        <v>28</v>
      </c>
      <c r="C43" s="430" t="s">
        <v>514</v>
      </c>
      <c r="D43" s="424">
        <v>40015346</v>
      </c>
      <c r="E43" s="219" t="s">
        <v>555</v>
      </c>
      <c r="F43" s="304" t="s">
        <v>147</v>
      </c>
      <c r="G43" s="30" t="s">
        <v>510</v>
      </c>
      <c r="H43" s="42" t="s">
        <v>526</v>
      </c>
      <c r="I43" s="274" t="s">
        <v>72</v>
      </c>
      <c r="J43" s="426">
        <v>2587156</v>
      </c>
      <c r="K43" s="31">
        <v>12808</v>
      </c>
      <c r="L43" s="31">
        <v>200457</v>
      </c>
      <c r="M43" s="31">
        <v>0</v>
      </c>
      <c r="N43" s="31">
        <v>0</v>
      </c>
      <c r="O43" s="31">
        <v>0</v>
      </c>
      <c r="P43" s="31"/>
      <c r="Q43" s="31"/>
      <c r="R43" s="31"/>
      <c r="S43" s="31"/>
      <c r="T43" s="31"/>
      <c r="U43" s="31"/>
      <c r="V43" s="31"/>
      <c r="W43" s="31"/>
      <c r="X43" s="31"/>
      <c r="Y43" s="31">
        <f t="shared" si="0"/>
        <v>0</v>
      </c>
      <c r="Z43" s="429">
        <v>20000</v>
      </c>
      <c r="AA43" s="104" t="s">
        <v>177</v>
      </c>
      <c r="AB43" s="41">
        <v>44232</v>
      </c>
      <c r="AC43" s="89">
        <v>44250</v>
      </c>
      <c r="AD43" s="219">
        <v>378493</v>
      </c>
      <c r="AE43" s="35">
        <v>9</v>
      </c>
      <c r="AF43" s="41">
        <v>44271</v>
      </c>
      <c r="AG43" s="89">
        <v>44284</v>
      </c>
      <c r="AH43" s="32"/>
      <c r="AI43" s="33"/>
      <c r="AJ43" s="36"/>
      <c r="AK43" s="89"/>
      <c r="AL43" s="32"/>
      <c r="AM43" s="33"/>
      <c r="AN43" s="36"/>
      <c r="AO43" s="89"/>
      <c r="AP43" s="32"/>
      <c r="AQ43" s="33"/>
      <c r="AR43" s="36"/>
      <c r="AS43" s="89"/>
      <c r="AT43" s="270">
        <f t="shared" si="1"/>
        <v>398493</v>
      </c>
      <c r="AU43" s="38">
        <f t="shared" si="2"/>
        <v>398493</v>
      </c>
    </row>
    <row r="44" spans="2:47" s="26" customFormat="1" ht="22.5" x14ac:dyDescent="0.25">
      <c r="B44" s="276">
        <v>29</v>
      </c>
      <c r="C44" s="428" t="s">
        <v>514</v>
      </c>
      <c r="D44" s="424">
        <v>40019695</v>
      </c>
      <c r="E44" s="219" t="s">
        <v>556</v>
      </c>
      <c r="F44" s="304"/>
      <c r="G44" s="30" t="s">
        <v>510</v>
      </c>
      <c r="H44" s="42" t="s">
        <v>516</v>
      </c>
      <c r="I44" s="274" t="s">
        <v>72</v>
      </c>
      <c r="J44" s="426">
        <v>1021971</v>
      </c>
      <c r="K44" s="31">
        <v>209403</v>
      </c>
      <c r="L44" s="31">
        <v>0</v>
      </c>
      <c r="M44" s="31">
        <v>0</v>
      </c>
      <c r="N44" s="31">
        <v>0</v>
      </c>
      <c r="O44" s="31">
        <v>0</v>
      </c>
      <c r="P44" s="31"/>
      <c r="Q44" s="31"/>
      <c r="R44" s="31"/>
      <c r="S44" s="31"/>
      <c r="T44" s="31"/>
      <c r="U44" s="31"/>
      <c r="V44" s="31"/>
      <c r="W44" s="31"/>
      <c r="X44" s="31"/>
      <c r="Y44" s="31">
        <f t="shared" si="0"/>
        <v>0</v>
      </c>
      <c r="Z44" s="429">
        <v>791909</v>
      </c>
      <c r="AA44" s="104" t="s">
        <v>177</v>
      </c>
      <c r="AB44" s="41">
        <v>44232</v>
      </c>
      <c r="AC44" s="89">
        <v>44250</v>
      </c>
      <c r="AD44" s="219"/>
      <c r="AE44" s="35"/>
      <c r="AF44" s="36"/>
      <c r="AG44" s="89"/>
      <c r="AH44" s="32"/>
      <c r="AI44" s="33"/>
      <c r="AJ44" s="36"/>
      <c r="AK44" s="89"/>
      <c r="AL44" s="32"/>
      <c r="AM44" s="33"/>
      <c r="AN44" s="36"/>
      <c r="AO44" s="89"/>
      <c r="AP44" s="32"/>
      <c r="AQ44" s="33"/>
      <c r="AR44" s="36"/>
      <c r="AS44" s="89"/>
      <c r="AT44" s="270">
        <f t="shared" si="1"/>
        <v>791909</v>
      </c>
      <c r="AU44" s="38">
        <f t="shared" si="2"/>
        <v>791909</v>
      </c>
    </row>
    <row r="45" spans="2:47" s="26" customFormat="1" ht="22.5" x14ac:dyDescent="0.25">
      <c r="B45" s="276">
        <v>30</v>
      </c>
      <c r="C45" s="430" t="s">
        <v>508</v>
      </c>
      <c r="D45" s="424">
        <v>30484444</v>
      </c>
      <c r="E45" s="219" t="s">
        <v>557</v>
      </c>
      <c r="F45" s="304" t="s">
        <v>147</v>
      </c>
      <c r="G45" s="30" t="s">
        <v>510</v>
      </c>
      <c r="H45" s="42" t="s">
        <v>520</v>
      </c>
      <c r="I45" s="274" t="s">
        <v>72</v>
      </c>
      <c r="J45" s="426" t="s">
        <v>558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1"/>
      <c r="Q45" s="31"/>
      <c r="R45" s="31"/>
      <c r="S45" s="31"/>
      <c r="T45" s="31"/>
      <c r="U45" s="31"/>
      <c r="V45" s="31"/>
      <c r="W45" s="31"/>
      <c r="X45" s="31"/>
      <c r="Y45" s="31">
        <f t="shared" si="0"/>
        <v>0</v>
      </c>
      <c r="Z45" s="429">
        <v>15000</v>
      </c>
      <c r="AA45" s="104" t="s">
        <v>559</v>
      </c>
      <c r="AB45" s="41">
        <v>44232</v>
      </c>
      <c r="AC45" s="89">
        <v>44250</v>
      </c>
      <c r="AD45" s="219"/>
      <c r="AE45" s="35"/>
      <c r="AF45" s="36"/>
      <c r="AG45" s="89"/>
      <c r="AH45" s="32"/>
      <c r="AI45" s="33"/>
      <c r="AJ45" s="36"/>
      <c r="AK45" s="89"/>
      <c r="AL45" s="32"/>
      <c r="AM45" s="33"/>
      <c r="AN45" s="36"/>
      <c r="AO45" s="89"/>
      <c r="AP45" s="32"/>
      <c r="AQ45" s="33"/>
      <c r="AR45" s="36"/>
      <c r="AS45" s="89"/>
      <c r="AT45" s="270">
        <f t="shared" si="1"/>
        <v>15000</v>
      </c>
      <c r="AU45" s="38">
        <f t="shared" si="2"/>
        <v>15000</v>
      </c>
    </row>
    <row r="46" spans="2:47" s="26" customFormat="1" ht="22.5" x14ac:dyDescent="0.25">
      <c r="B46" s="276">
        <v>31</v>
      </c>
      <c r="C46" s="431" t="s">
        <v>508</v>
      </c>
      <c r="D46" s="424">
        <v>40002331</v>
      </c>
      <c r="E46" s="219" t="s">
        <v>560</v>
      </c>
      <c r="F46" s="304" t="s">
        <v>147</v>
      </c>
      <c r="G46" s="30" t="s">
        <v>510</v>
      </c>
      <c r="H46" s="42" t="s">
        <v>561</v>
      </c>
      <c r="I46" s="274" t="s">
        <v>72</v>
      </c>
      <c r="J46" s="426">
        <v>193815</v>
      </c>
      <c r="K46" s="31">
        <v>0</v>
      </c>
      <c r="L46" s="31">
        <v>155051</v>
      </c>
      <c r="M46" s="31">
        <v>0</v>
      </c>
      <c r="N46" s="31">
        <v>0</v>
      </c>
      <c r="O46" s="31">
        <v>0</v>
      </c>
      <c r="P46" s="31"/>
      <c r="Q46" s="31"/>
      <c r="R46" s="31"/>
      <c r="S46" s="31"/>
      <c r="T46" s="31"/>
      <c r="U46" s="31"/>
      <c r="V46" s="31"/>
      <c r="W46" s="31"/>
      <c r="X46" s="31"/>
      <c r="Y46" s="31">
        <f t="shared" si="0"/>
        <v>0</v>
      </c>
      <c r="Z46" s="429">
        <v>1</v>
      </c>
      <c r="AA46" s="104" t="s">
        <v>559</v>
      </c>
      <c r="AB46" s="41">
        <v>44232</v>
      </c>
      <c r="AC46" s="89">
        <v>44250</v>
      </c>
      <c r="AD46" s="219">
        <v>38763</v>
      </c>
      <c r="AE46" s="35">
        <v>9</v>
      </c>
      <c r="AF46" s="41">
        <v>44271</v>
      </c>
      <c r="AG46" s="89">
        <v>44284</v>
      </c>
      <c r="AH46" s="32"/>
      <c r="AI46" s="33"/>
      <c r="AJ46" s="36"/>
      <c r="AK46" s="89"/>
      <c r="AL46" s="32"/>
      <c r="AM46" s="33"/>
      <c r="AN46" s="36"/>
      <c r="AO46" s="89"/>
      <c r="AP46" s="32"/>
      <c r="AQ46" s="33"/>
      <c r="AR46" s="36"/>
      <c r="AS46" s="89"/>
      <c r="AT46" s="270">
        <f t="shared" si="1"/>
        <v>38764</v>
      </c>
      <c r="AU46" s="38">
        <f t="shared" si="2"/>
        <v>38764</v>
      </c>
    </row>
    <row r="47" spans="2:47" s="26" customFormat="1" ht="22.5" x14ac:dyDescent="0.25">
      <c r="B47" s="276">
        <v>32</v>
      </c>
      <c r="C47" s="430" t="s">
        <v>508</v>
      </c>
      <c r="D47" s="424">
        <v>40002737</v>
      </c>
      <c r="E47" s="219" t="s">
        <v>562</v>
      </c>
      <c r="F47" s="304" t="s">
        <v>147</v>
      </c>
      <c r="G47" s="30" t="s">
        <v>510</v>
      </c>
      <c r="H47" s="42" t="s">
        <v>543</v>
      </c>
      <c r="I47" s="274" t="s">
        <v>72</v>
      </c>
      <c r="J47" s="426">
        <v>57464</v>
      </c>
      <c r="K47" s="31">
        <v>0</v>
      </c>
      <c r="L47" s="31">
        <v>36482</v>
      </c>
      <c r="M47" s="31">
        <v>0</v>
      </c>
      <c r="N47" s="31">
        <v>0</v>
      </c>
      <c r="O47" s="31">
        <v>0</v>
      </c>
      <c r="P47" s="31"/>
      <c r="Q47" s="31"/>
      <c r="R47" s="31"/>
      <c r="S47" s="31"/>
      <c r="T47" s="31"/>
      <c r="U47" s="31"/>
      <c r="V47" s="31"/>
      <c r="W47" s="31"/>
      <c r="X47" s="31"/>
      <c r="Y47" s="31">
        <f t="shared" si="0"/>
        <v>0</v>
      </c>
      <c r="Z47" s="429">
        <v>5000</v>
      </c>
      <c r="AA47" s="104" t="s">
        <v>559</v>
      </c>
      <c r="AB47" s="41">
        <v>44232</v>
      </c>
      <c r="AC47" s="89">
        <v>44250</v>
      </c>
      <c r="AD47" s="219"/>
      <c r="AE47" s="35"/>
      <c r="AF47" s="36"/>
      <c r="AG47" s="89"/>
      <c r="AH47" s="32"/>
      <c r="AI47" s="33"/>
      <c r="AJ47" s="36"/>
      <c r="AK47" s="89"/>
      <c r="AL47" s="32"/>
      <c r="AM47" s="33"/>
      <c r="AN47" s="36"/>
      <c r="AO47" s="89"/>
      <c r="AP47" s="32"/>
      <c r="AQ47" s="33"/>
      <c r="AR47" s="36"/>
      <c r="AS47" s="89"/>
      <c r="AT47" s="270">
        <f t="shared" si="1"/>
        <v>5000</v>
      </c>
      <c r="AU47" s="38">
        <f t="shared" si="2"/>
        <v>5000</v>
      </c>
    </row>
    <row r="48" spans="2:47" s="26" customFormat="1" ht="22.5" x14ac:dyDescent="0.25">
      <c r="B48" s="276">
        <v>33</v>
      </c>
      <c r="C48" s="431" t="s">
        <v>508</v>
      </c>
      <c r="D48" s="424">
        <v>40010023</v>
      </c>
      <c r="E48" s="219" t="s">
        <v>563</v>
      </c>
      <c r="F48" s="304" t="s">
        <v>147</v>
      </c>
      <c r="G48" s="30" t="s">
        <v>510</v>
      </c>
      <c r="H48" s="42" t="s">
        <v>513</v>
      </c>
      <c r="I48" s="274" t="s">
        <v>72</v>
      </c>
      <c r="J48" s="426">
        <v>22705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/>
      <c r="Q48" s="31"/>
      <c r="R48" s="31"/>
      <c r="S48" s="31"/>
      <c r="T48" s="31"/>
      <c r="U48" s="31"/>
      <c r="V48" s="31"/>
      <c r="W48" s="31"/>
      <c r="X48" s="31"/>
      <c r="Y48" s="31">
        <f t="shared" si="0"/>
        <v>0</v>
      </c>
      <c r="Z48" s="429">
        <v>5000</v>
      </c>
      <c r="AA48" s="104" t="s">
        <v>559</v>
      </c>
      <c r="AB48" s="41">
        <v>44232</v>
      </c>
      <c r="AC48" s="89">
        <v>44250</v>
      </c>
      <c r="AD48" s="219"/>
      <c r="AE48" s="35"/>
      <c r="AF48" s="36"/>
      <c r="AG48" s="89"/>
      <c r="AH48" s="32"/>
      <c r="AI48" s="33"/>
      <c r="AJ48" s="36"/>
      <c r="AK48" s="89"/>
      <c r="AL48" s="32"/>
      <c r="AM48" s="33"/>
      <c r="AN48" s="36"/>
      <c r="AO48" s="89"/>
      <c r="AP48" s="32"/>
      <c r="AQ48" s="33"/>
      <c r="AR48" s="36"/>
      <c r="AS48" s="89"/>
      <c r="AT48" s="270">
        <f t="shared" si="1"/>
        <v>5000</v>
      </c>
      <c r="AU48" s="38">
        <f t="shared" si="2"/>
        <v>5000</v>
      </c>
    </row>
    <row r="49" spans="2:47" s="26" customFormat="1" ht="22.5" x14ac:dyDescent="0.25">
      <c r="B49" s="276">
        <v>34</v>
      </c>
      <c r="C49" s="430" t="s">
        <v>508</v>
      </c>
      <c r="D49" s="424">
        <v>40011142</v>
      </c>
      <c r="E49" s="219" t="s">
        <v>564</v>
      </c>
      <c r="F49" s="304" t="s">
        <v>147</v>
      </c>
      <c r="G49" s="30" t="s">
        <v>510</v>
      </c>
      <c r="H49" s="42" t="s">
        <v>552</v>
      </c>
      <c r="I49" s="274" t="s">
        <v>72</v>
      </c>
      <c r="J49" s="426">
        <v>2167314</v>
      </c>
      <c r="K49" s="31">
        <v>0</v>
      </c>
      <c r="L49" s="31">
        <v>2066265</v>
      </c>
      <c r="M49" s="31">
        <v>0</v>
      </c>
      <c r="N49" s="31">
        <v>0</v>
      </c>
      <c r="O49" s="31">
        <v>0</v>
      </c>
      <c r="P49" s="31"/>
      <c r="Q49" s="31"/>
      <c r="R49" s="31"/>
      <c r="S49" s="31"/>
      <c r="T49" s="31"/>
      <c r="U49" s="31"/>
      <c r="V49" s="31"/>
      <c r="W49" s="31"/>
      <c r="X49" s="31"/>
      <c r="Y49" s="31">
        <f t="shared" si="0"/>
        <v>0</v>
      </c>
      <c r="Z49" s="429">
        <v>70000</v>
      </c>
      <c r="AA49" s="104" t="s">
        <v>559</v>
      </c>
      <c r="AB49" s="41">
        <v>44232</v>
      </c>
      <c r="AC49" s="89">
        <v>44250</v>
      </c>
      <c r="AD49" s="219"/>
      <c r="AE49" s="35"/>
      <c r="AF49" s="36"/>
      <c r="AG49" s="89"/>
      <c r="AH49" s="32"/>
      <c r="AI49" s="33"/>
      <c r="AJ49" s="36"/>
      <c r="AK49" s="89"/>
      <c r="AL49" s="32"/>
      <c r="AM49" s="33"/>
      <c r="AN49" s="36"/>
      <c r="AO49" s="89"/>
      <c r="AP49" s="32"/>
      <c r="AQ49" s="33"/>
      <c r="AR49" s="36"/>
      <c r="AS49" s="89"/>
      <c r="AT49" s="270">
        <f t="shared" si="1"/>
        <v>70000</v>
      </c>
      <c r="AU49" s="38">
        <f t="shared" si="2"/>
        <v>70000</v>
      </c>
    </row>
    <row r="50" spans="2:47" s="26" customFormat="1" ht="25.5" customHeight="1" x14ac:dyDescent="0.25">
      <c r="B50" s="276">
        <v>35</v>
      </c>
      <c r="C50" s="431" t="s">
        <v>508</v>
      </c>
      <c r="D50" s="424">
        <v>40012960</v>
      </c>
      <c r="E50" s="219" t="s">
        <v>565</v>
      </c>
      <c r="F50" s="304" t="s">
        <v>147</v>
      </c>
      <c r="G50" s="30" t="s">
        <v>510</v>
      </c>
      <c r="H50" s="42" t="s">
        <v>526</v>
      </c>
      <c r="I50" s="274" t="s">
        <v>72</v>
      </c>
      <c r="J50" s="426">
        <v>157362</v>
      </c>
      <c r="K50" s="31">
        <v>0</v>
      </c>
      <c r="L50" s="31">
        <v>107362</v>
      </c>
      <c r="M50" s="31">
        <v>0</v>
      </c>
      <c r="N50" s="31">
        <v>0</v>
      </c>
      <c r="O50" s="31">
        <v>0</v>
      </c>
      <c r="P50" s="31"/>
      <c r="Q50" s="31"/>
      <c r="R50" s="31"/>
      <c r="S50" s="31"/>
      <c r="T50" s="31"/>
      <c r="U50" s="31"/>
      <c r="V50" s="31"/>
      <c r="W50" s="31"/>
      <c r="X50" s="31"/>
      <c r="Y50" s="31">
        <f t="shared" si="0"/>
        <v>0</v>
      </c>
      <c r="Z50" s="429">
        <v>50000</v>
      </c>
      <c r="AA50" s="104" t="s">
        <v>559</v>
      </c>
      <c r="AB50" s="41">
        <v>44232</v>
      </c>
      <c r="AC50" s="89">
        <v>44250</v>
      </c>
      <c r="AD50" s="219"/>
      <c r="AE50" s="35"/>
      <c r="AF50" s="36"/>
      <c r="AG50" s="89"/>
      <c r="AH50" s="32"/>
      <c r="AI50" s="33"/>
      <c r="AJ50" s="36"/>
      <c r="AK50" s="89"/>
      <c r="AL50" s="32"/>
      <c r="AM50" s="33"/>
      <c r="AN50" s="36"/>
      <c r="AO50" s="89"/>
      <c r="AP50" s="32"/>
      <c r="AQ50" s="33"/>
      <c r="AR50" s="36"/>
      <c r="AS50" s="89"/>
      <c r="AT50" s="270">
        <f t="shared" si="1"/>
        <v>50000</v>
      </c>
      <c r="AU50" s="38">
        <f t="shared" si="2"/>
        <v>50000</v>
      </c>
    </row>
    <row r="51" spans="2:47" s="26" customFormat="1" ht="22.5" x14ac:dyDescent="0.25">
      <c r="B51" s="276">
        <v>36</v>
      </c>
      <c r="C51" s="430" t="s">
        <v>508</v>
      </c>
      <c r="D51" s="424">
        <v>40013162</v>
      </c>
      <c r="E51" s="219" t="s">
        <v>566</v>
      </c>
      <c r="F51" s="304" t="s">
        <v>147</v>
      </c>
      <c r="G51" s="30" t="s">
        <v>510</v>
      </c>
      <c r="H51" s="42" t="s">
        <v>526</v>
      </c>
      <c r="I51" s="274" t="s">
        <v>72</v>
      </c>
      <c r="J51" s="426">
        <v>110991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/>
      <c r="Q51" s="31"/>
      <c r="R51" s="31"/>
      <c r="S51" s="31"/>
      <c r="T51" s="31"/>
      <c r="U51" s="31"/>
      <c r="V51" s="31"/>
      <c r="W51" s="31"/>
      <c r="X51" s="31"/>
      <c r="Y51" s="31">
        <f t="shared" si="0"/>
        <v>0</v>
      </c>
      <c r="Z51" s="429">
        <v>1</v>
      </c>
      <c r="AA51" s="104" t="s">
        <v>559</v>
      </c>
      <c r="AB51" s="41">
        <v>44232</v>
      </c>
      <c r="AC51" s="89">
        <v>44250</v>
      </c>
      <c r="AD51" s="219"/>
      <c r="AE51" s="35"/>
      <c r="AF51" s="36"/>
      <c r="AG51" s="89"/>
      <c r="AH51" s="32"/>
      <c r="AI51" s="33"/>
      <c r="AJ51" s="36"/>
      <c r="AK51" s="89"/>
      <c r="AL51" s="32"/>
      <c r="AM51" s="33"/>
      <c r="AN51" s="36"/>
      <c r="AO51" s="89"/>
      <c r="AP51" s="32"/>
      <c r="AQ51" s="33"/>
      <c r="AR51" s="36"/>
      <c r="AS51" s="89"/>
      <c r="AT51" s="270">
        <f t="shared" si="1"/>
        <v>1</v>
      </c>
      <c r="AU51" s="38">
        <f t="shared" si="2"/>
        <v>1</v>
      </c>
    </row>
    <row r="52" spans="2:47" s="26" customFormat="1" ht="22.5" x14ac:dyDescent="0.25">
      <c r="B52" s="276">
        <v>37</v>
      </c>
      <c r="C52" s="431" t="s">
        <v>508</v>
      </c>
      <c r="D52" s="424">
        <v>40013267</v>
      </c>
      <c r="E52" s="219" t="s">
        <v>567</v>
      </c>
      <c r="F52" s="304" t="s">
        <v>147</v>
      </c>
      <c r="G52" s="30" t="s">
        <v>510</v>
      </c>
      <c r="H52" s="42" t="s">
        <v>552</v>
      </c>
      <c r="I52" s="274" t="s">
        <v>72</v>
      </c>
      <c r="J52" s="426">
        <v>87704</v>
      </c>
      <c r="K52" s="31">
        <v>0</v>
      </c>
      <c r="L52" s="31">
        <v>46352</v>
      </c>
      <c r="M52" s="31">
        <v>0</v>
      </c>
      <c r="N52" s="31">
        <v>0</v>
      </c>
      <c r="O52" s="31">
        <v>0</v>
      </c>
      <c r="P52" s="31"/>
      <c r="Q52" s="31"/>
      <c r="R52" s="31"/>
      <c r="S52" s="31"/>
      <c r="T52" s="31"/>
      <c r="U52" s="31"/>
      <c r="V52" s="31"/>
      <c r="W52" s="31"/>
      <c r="X52" s="31"/>
      <c r="Y52" s="31">
        <f t="shared" si="0"/>
        <v>0</v>
      </c>
      <c r="Z52" s="429">
        <v>11000</v>
      </c>
      <c r="AA52" s="104" t="s">
        <v>559</v>
      </c>
      <c r="AB52" s="41">
        <v>44232</v>
      </c>
      <c r="AC52" s="89">
        <v>44250</v>
      </c>
      <c r="AD52" s="219"/>
      <c r="AE52" s="35"/>
      <c r="AF52" s="36"/>
      <c r="AG52" s="89"/>
      <c r="AH52" s="32"/>
      <c r="AI52" s="33"/>
      <c r="AJ52" s="36"/>
      <c r="AK52" s="89"/>
      <c r="AL52" s="32"/>
      <c r="AM52" s="33"/>
      <c r="AN52" s="36"/>
      <c r="AO52" s="89"/>
      <c r="AP52" s="32"/>
      <c r="AQ52" s="33"/>
      <c r="AR52" s="36"/>
      <c r="AS52" s="89"/>
      <c r="AT52" s="270">
        <f t="shared" si="1"/>
        <v>11000</v>
      </c>
      <c r="AU52" s="38">
        <f t="shared" si="2"/>
        <v>11000</v>
      </c>
    </row>
    <row r="53" spans="2:47" s="26" customFormat="1" ht="22.5" x14ac:dyDescent="0.25">
      <c r="B53" s="276">
        <v>38</v>
      </c>
      <c r="C53" s="432" t="s">
        <v>514</v>
      </c>
      <c r="D53" s="424">
        <v>30119286</v>
      </c>
      <c r="E53" s="219" t="s">
        <v>568</v>
      </c>
      <c r="F53" s="304" t="s">
        <v>147</v>
      </c>
      <c r="G53" s="30" t="s">
        <v>510</v>
      </c>
      <c r="H53" s="42" t="s">
        <v>569</v>
      </c>
      <c r="I53" s="274" t="s">
        <v>72</v>
      </c>
      <c r="J53" s="426">
        <v>4785125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/>
      <c r="Q53" s="31"/>
      <c r="R53" s="31"/>
      <c r="S53" s="31"/>
      <c r="T53" s="31"/>
      <c r="U53" s="31"/>
      <c r="V53" s="31"/>
      <c r="W53" s="31"/>
      <c r="X53" s="31"/>
      <c r="Y53" s="31">
        <f t="shared" si="0"/>
        <v>0</v>
      </c>
      <c r="Z53" s="429">
        <v>16000</v>
      </c>
      <c r="AA53" s="104" t="s">
        <v>559</v>
      </c>
      <c r="AB53" s="41">
        <v>44232</v>
      </c>
      <c r="AC53" s="89">
        <v>44250</v>
      </c>
      <c r="AD53" s="219"/>
      <c r="AE53" s="35"/>
      <c r="AF53" s="36"/>
      <c r="AG53" s="89"/>
      <c r="AH53" s="32"/>
      <c r="AI53" s="33"/>
      <c r="AJ53" s="36"/>
      <c r="AK53" s="89"/>
      <c r="AL53" s="32"/>
      <c r="AM53" s="33"/>
      <c r="AN53" s="36"/>
      <c r="AO53" s="89"/>
      <c r="AP53" s="32"/>
      <c r="AQ53" s="33"/>
      <c r="AR53" s="36"/>
      <c r="AS53" s="89"/>
      <c r="AT53" s="270">
        <f t="shared" si="1"/>
        <v>16000</v>
      </c>
      <c r="AU53" s="38">
        <f t="shared" si="2"/>
        <v>16000</v>
      </c>
    </row>
    <row r="54" spans="2:47" s="26" customFormat="1" ht="22.5" x14ac:dyDescent="0.25">
      <c r="B54" s="276">
        <v>39</v>
      </c>
      <c r="C54" s="432" t="s">
        <v>514</v>
      </c>
      <c r="D54" s="424">
        <v>30133087</v>
      </c>
      <c r="E54" s="219" t="s">
        <v>570</v>
      </c>
      <c r="F54" s="304" t="s">
        <v>193</v>
      </c>
      <c r="G54" s="30" t="s">
        <v>510</v>
      </c>
      <c r="H54" s="42" t="s">
        <v>571</v>
      </c>
      <c r="I54" s="274" t="s">
        <v>72</v>
      </c>
      <c r="J54" s="426">
        <v>85275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/>
      <c r="Q54" s="31"/>
      <c r="R54" s="31"/>
      <c r="S54" s="31"/>
      <c r="T54" s="31"/>
      <c r="U54" s="31"/>
      <c r="V54" s="31"/>
      <c r="W54" s="31"/>
      <c r="X54" s="31"/>
      <c r="Y54" s="31">
        <f t="shared" si="0"/>
        <v>0</v>
      </c>
      <c r="Z54" s="429">
        <v>5511</v>
      </c>
      <c r="AA54" s="104" t="s">
        <v>559</v>
      </c>
      <c r="AB54" s="41">
        <v>44232</v>
      </c>
      <c r="AC54" s="89">
        <v>44250</v>
      </c>
      <c r="AD54" s="219"/>
      <c r="AE54" s="35"/>
      <c r="AF54" s="36"/>
      <c r="AG54" s="89"/>
      <c r="AH54" s="32"/>
      <c r="AI54" s="33"/>
      <c r="AJ54" s="36"/>
      <c r="AK54" s="89"/>
      <c r="AL54" s="32"/>
      <c r="AM54" s="33"/>
      <c r="AN54" s="36"/>
      <c r="AO54" s="89"/>
      <c r="AP54" s="32"/>
      <c r="AQ54" s="33"/>
      <c r="AR54" s="36"/>
      <c r="AS54" s="89"/>
      <c r="AT54" s="270">
        <f t="shared" si="1"/>
        <v>5511</v>
      </c>
      <c r="AU54" s="38">
        <f t="shared" si="2"/>
        <v>5511</v>
      </c>
    </row>
    <row r="55" spans="2:47" s="26" customFormat="1" x14ac:dyDescent="0.25">
      <c r="B55" s="276">
        <v>40</v>
      </c>
      <c r="C55" s="432" t="s">
        <v>514</v>
      </c>
      <c r="D55" s="424">
        <v>30133425</v>
      </c>
      <c r="E55" s="219" t="s">
        <v>572</v>
      </c>
      <c r="F55" s="304" t="s">
        <v>147</v>
      </c>
      <c r="G55" s="30" t="s">
        <v>510</v>
      </c>
      <c r="H55" s="42" t="s">
        <v>573</v>
      </c>
      <c r="I55" s="274" t="s">
        <v>72</v>
      </c>
      <c r="J55" s="426">
        <v>4048037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1"/>
      <c r="Q55" s="31"/>
      <c r="R55" s="31"/>
      <c r="S55" s="31"/>
      <c r="T55" s="31"/>
      <c r="U55" s="31"/>
      <c r="V55" s="31"/>
      <c r="W55" s="31"/>
      <c r="X55" s="31"/>
      <c r="Y55" s="31">
        <f t="shared" si="0"/>
        <v>0</v>
      </c>
      <c r="Z55" s="429">
        <v>500000</v>
      </c>
      <c r="AA55" s="104" t="s">
        <v>559</v>
      </c>
      <c r="AB55" s="41">
        <v>44232</v>
      </c>
      <c r="AC55" s="89">
        <v>44250</v>
      </c>
      <c r="AD55" s="219"/>
      <c r="AE55" s="35"/>
      <c r="AF55" s="36"/>
      <c r="AG55" s="89"/>
      <c r="AH55" s="32"/>
      <c r="AI55" s="33"/>
      <c r="AJ55" s="36"/>
      <c r="AK55" s="89"/>
      <c r="AL55" s="32"/>
      <c r="AM55" s="33"/>
      <c r="AN55" s="36"/>
      <c r="AO55" s="89"/>
      <c r="AP55" s="32"/>
      <c r="AQ55" s="33"/>
      <c r="AR55" s="36"/>
      <c r="AS55" s="89"/>
      <c r="AT55" s="270">
        <f t="shared" si="1"/>
        <v>500000</v>
      </c>
      <c r="AU55" s="38">
        <f t="shared" si="2"/>
        <v>500000</v>
      </c>
    </row>
    <row r="56" spans="2:47" s="26" customFormat="1" ht="22.5" x14ac:dyDescent="0.25">
      <c r="B56" s="276">
        <v>41</v>
      </c>
      <c r="C56" s="432" t="s">
        <v>514</v>
      </c>
      <c r="D56" s="424">
        <v>30318924</v>
      </c>
      <c r="E56" s="219" t="s">
        <v>574</v>
      </c>
      <c r="F56" s="304" t="s">
        <v>147</v>
      </c>
      <c r="G56" s="30" t="s">
        <v>510</v>
      </c>
      <c r="H56" s="42" t="s">
        <v>531</v>
      </c>
      <c r="I56" s="274" t="s">
        <v>72</v>
      </c>
      <c r="J56" s="426">
        <v>1140912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1"/>
      <c r="Q56" s="31"/>
      <c r="R56" s="31"/>
      <c r="S56" s="31"/>
      <c r="T56" s="31"/>
      <c r="U56" s="31"/>
      <c r="V56" s="31"/>
      <c r="W56" s="31"/>
      <c r="X56" s="31"/>
      <c r="Y56" s="31">
        <f t="shared" si="0"/>
        <v>0</v>
      </c>
      <c r="Z56" s="429">
        <v>15000</v>
      </c>
      <c r="AA56" s="104" t="s">
        <v>559</v>
      </c>
      <c r="AB56" s="41">
        <v>44232</v>
      </c>
      <c r="AC56" s="89">
        <v>44250</v>
      </c>
      <c r="AD56" s="219"/>
      <c r="AE56" s="35"/>
      <c r="AF56" s="36"/>
      <c r="AG56" s="89"/>
      <c r="AH56" s="32"/>
      <c r="AI56" s="33"/>
      <c r="AJ56" s="36"/>
      <c r="AK56" s="89"/>
      <c r="AL56" s="32"/>
      <c r="AM56" s="33"/>
      <c r="AN56" s="36"/>
      <c r="AO56" s="89"/>
      <c r="AP56" s="32"/>
      <c r="AQ56" s="33"/>
      <c r="AR56" s="36"/>
      <c r="AS56" s="89"/>
      <c r="AT56" s="270">
        <f t="shared" si="1"/>
        <v>15000</v>
      </c>
      <c r="AU56" s="38">
        <f t="shared" si="2"/>
        <v>15000</v>
      </c>
    </row>
    <row r="57" spans="2:47" s="26" customFormat="1" ht="20.25" customHeight="1" x14ac:dyDescent="0.25">
      <c r="B57" s="276">
        <v>42</v>
      </c>
      <c r="C57" s="432" t="s">
        <v>514</v>
      </c>
      <c r="D57" s="424">
        <v>30386411</v>
      </c>
      <c r="E57" s="219" t="s">
        <v>575</v>
      </c>
      <c r="F57" s="304" t="s">
        <v>193</v>
      </c>
      <c r="G57" s="30" t="s">
        <v>510</v>
      </c>
      <c r="H57" s="42" t="s">
        <v>576</v>
      </c>
      <c r="I57" s="274" t="s">
        <v>72</v>
      </c>
      <c r="J57" s="426">
        <v>198744</v>
      </c>
      <c r="K57" s="31">
        <v>0</v>
      </c>
      <c r="L57" s="31">
        <v>24395</v>
      </c>
      <c r="M57" s="31">
        <v>0</v>
      </c>
      <c r="N57" s="31">
        <v>0</v>
      </c>
      <c r="O57" s="31">
        <v>0</v>
      </c>
      <c r="P57" s="31"/>
      <c r="Q57" s="31"/>
      <c r="R57" s="31"/>
      <c r="S57" s="31"/>
      <c r="T57" s="31"/>
      <c r="U57" s="31"/>
      <c r="V57" s="31"/>
      <c r="W57" s="31"/>
      <c r="X57" s="31"/>
      <c r="Y57" s="31">
        <f t="shared" si="0"/>
        <v>0</v>
      </c>
      <c r="Z57" s="429">
        <v>5000</v>
      </c>
      <c r="AA57" s="104" t="s">
        <v>559</v>
      </c>
      <c r="AB57" s="41">
        <v>44232</v>
      </c>
      <c r="AC57" s="89">
        <v>44250</v>
      </c>
      <c r="AD57" s="219">
        <v>70000</v>
      </c>
      <c r="AE57" s="35">
        <v>9</v>
      </c>
      <c r="AF57" s="41">
        <v>44455</v>
      </c>
      <c r="AG57" s="89">
        <v>44284</v>
      </c>
      <c r="AH57" s="32"/>
      <c r="AI57" s="33"/>
      <c r="AJ57" s="36"/>
      <c r="AK57" s="89"/>
      <c r="AL57" s="32"/>
      <c r="AM57" s="33"/>
      <c r="AN57" s="36"/>
      <c r="AO57" s="89"/>
      <c r="AP57" s="32"/>
      <c r="AQ57" s="33"/>
      <c r="AR57" s="36"/>
      <c r="AS57" s="89"/>
      <c r="AT57" s="270">
        <f t="shared" si="1"/>
        <v>75000</v>
      </c>
      <c r="AU57" s="38">
        <f t="shared" si="2"/>
        <v>75000</v>
      </c>
    </row>
    <row r="58" spans="2:47" s="26" customFormat="1" ht="21" customHeight="1" x14ac:dyDescent="0.25">
      <c r="B58" s="276">
        <v>43</v>
      </c>
      <c r="C58" s="432" t="s">
        <v>514</v>
      </c>
      <c r="D58" s="424">
        <v>30479905</v>
      </c>
      <c r="E58" s="219" t="s">
        <v>577</v>
      </c>
      <c r="F58" s="304" t="s">
        <v>193</v>
      </c>
      <c r="G58" s="30" t="s">
        <v>510</v>
      </c>
      <c r="H58" s="42" t="s">
        <v>526</v>
      </c>
      <c r="I58" s="274" t="s">
        <v>72</v>
      </c>
      <c r="J58" s="426">
        <v>42291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1"/>
      <c r="Q58" s="31"/>
      <c r="R58" s="31"/>
      <c r="S58" s="31"/>
      <c r="T58" s="31"/>
      <c r="U58" s="31"/>
      <c r="V58" s="31"/>
      <c r="W58" s="31"/>
      <c r="X58" s="31"/>
      <c r="Y58" s="31">
        <f t="shared" si="0"/>
        <v>0</v>
      </c>
      <c r="Z58" s="429">
        <v>10000</v>
      </c>
      <c r="AA58" s="104" t="s">
        <v>559</v>
      </c>
      <c r="AB58" s="41">
        <v>44232</v>
      </c>
      <c r="AC58" s="89">
        <v>44250</v>
      </c>
      <c r="AD58" s="219"/>
      <c r="AE58" s="35"/>
      <c r="AF58" s="36"/>
      <c r="AG58" s="89"/>
      <c r="AH58" s="32"/>
      <c r="AI58" s="33"/>
      <c r="AJ58" s="36"/>
      <c r="AK58" s="89"/>
      <c r="AL58" s="32"/>
      <c r="AM58" s="33"/>
      <c r="AN58" s="36"/>
      <c r="AO58" s="89"/>
      <c r="AP58" s="32"/>
      <c r="AQ58" s="33"/>
      <c r="AR58" s="36"/>
      <c r="AS58" s="89"/>
      <c r="AT58" s="270">
        <f t="shared" si="1"/>
        <v>10000</v>
      </c>
      <c r="AU58" s="38">
        <f t="shared" si="2"/>
        <v>10000</v>
      </c>
    </row>
    <row r="59" spans="2:47" s="26" customFormat="1" ht="22.5" x14ac:dyDescent="0.25">
      <c r="B59" s="276">
        <v>44</v>
      </c>
      <c r="C59" s="432" t="s">
        <v>514</v>
      </c>
      <c r="D59" s="424">
        <v>30480682</v>
      </c>
      <c r="E59" s="219" t="s">
        <v>578</v>
      </c>
      <c r="F59" s="304" t="s">
        <v>147</v>
      </c>
      <c r="G59" s="30" t="s">
        <v>510</v>
      </c>
      <c r="H59" s="42" t="s">
        <v>573</v>
      </c>
      <c r="I59" s="274" t="s">
        <v>72</v>
      </c>
      <c r="J59" s="426">
        <v>538957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1"/>
      <c r="Q59" s="31"/>
      <c r="R59" s="31"/>
      <c r="S59" s="31"/>
      <c r="T59" s="31"/>
      <c r="U59" s="31"/>
      <c r="V59" s="31"/>
      <c r="W59" s="31"/>
      <c r="X59" s="31"/>
      <c r="Y59" s="31">
        <f t="shared" si="0"/>
        <v>0</v>
      </c>
      <c r="Z59" s="429">
        <v>100000</v>
      </c>
      <c r="AA59" s="104" t="s">
        <v>559</v>
      </c>
      <c r="AB59" s="41">
        <v>44232</v>
      </c>
      <c r="AC59" s="89">
        <v>44250</v>
      </c>
      <c r="AD59" s="219"/>
      <c r="AE59" s="35"/>
      <c r="AF59" s="36"/>
      <c r="AG59" s="89"/>
      <c r="AH59" s="32"/>
      <c r="AI59" s="33"/>
      <c r="AJ59" s="36"/>
      <c r="AK59" s="89"/>
      <c r="AL59" s="32"/>
      <c r="AM59" s="33"/>
      <c r="AN59" s="36"/>
      <c r="AO59" s="89"/>
      <c r="AP59" s="32"/>
      <c r="AQ59" s="33"/>
      <c r="AR59" s="36"/>
      <c r="AS59" s="89"/>
      <c r="AT59" s="270">
        <f t="shared" si="1"/>
        <v>100000</v>
      </c>
      <c r="AU59" s="38">
        <f t="shared" si="2"/>
        <v>100000</v>
      </c>
    </row>
    <row r="60" spans="2:47" s="26" customFormat="1" ht="20.25" customHeight="1" x14ac:dyDescent="0.25">
      <c r="B60" s="276">
        <v>45</v>
      </c>
      <c r="C60" s="432" t="s">
        <v>514</v>
      </c>
      <c r="D60" s="424">
        <v>30480963</v>
      </c>
      <c r="E60" s="219" t="s">
        <v>579</v>
      </c>
      <c r="F60" s="304" t="s">
        <v>193</v>
      </c>
      <c r="G60" s="30" t="s">
        <v>510</v>
      </c>
      <c r="H60" s="42" t="s">
        <v>541</v>
      </c>
      <c r="I60" s="274" t="s">
        <v>72</v>
      </c>
      <c r="J60" s="426">
        <v>246041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/>
      <c r="Q60" s="31"/>
      <c r="R60" s="31"/>
      <c r="S60" s="31"/>
      <c r="T60" s="31"/>
      <c r="U60" s="31"/>
      <c r="V60" s="31"/>
      <c r="W60" s="31"/>
      <c r="X60" s="31"/>
      <c r="Y60" s="31">
        <f t="shared" si="0"/>
        <v>0</v>
      </c>
      <c r="Z60" s="429">
        <v>1</v>
      </c>
      <c r="AA60" s="104" t="s">
        <v>559</v>
      </c>
      <c r="AB60" s="41">
        <v>44232</v>
      </c>
      <c r="AC60" s="89">
        <v>44250</v>
      </c>
      <c r="AD60" s="219"/>
      <c r="AE60" s="35"/>
      <c r="AF60" s="36"/>
      <c r="AG60" s="89"/>
      <c r="AH60" s="32"/>
      <c r="AI60" s="33"/>
      <c r="AJ60" s="36"/>
      <c r="AK60" s="89"/>
      <c r="AL60" s="32"/>
      <c r="AM60" s="33"/>
      <c r="AN60" s="36"/>
      <c r="AO60" s="89"/>
      <c r="AP60" s="32"/>
      <c r="AQ60" s="33"/>
      <c r="AR60" s="36"/>
      <c r="AS60" s="89"/>
      <c r="AT60" s="270">
        <f t="shared" si="1"/>
        <v>1</v>
      </c>
      <c r="AU60" s="38">
        <f t="shared" si="2"/>
        <v>1</v>
      </c>
    </row>
    <row r="61" spans="2:47" s="26" customFormat="1" ht="19.5" customHeight="1" x14ac:dyDescent="0.25">
      <c r="B61" s="276">
        <v>46</v>
      </c>
      <c r="C61" s="432" t="s">
        <v>514</v>
      </c>
      <c r="D61" s="424">
        <v>30483692</v>
      </c>
      <c r="E61" s="219" t="s">
        <v>580</v>
      </c>
      <c r="F61" s="304" t="s">
        <v>147</v>
      </c>
      <c r="G61" s="30" t="s">
        <v>510</v>
      </c>
      <c r="H61" s="42" t="s">
        <v>528</v>
      </c>
      <c r="I61" s="274" t="s">
        <v>72</v>
      </c>
      <c r="J61" s="426">
        <v>49586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/>
      <c r="Q61" s="31"/>
      <c r="R61" s="31"/>
      <c r="S61" s="31"/>
      <c r="T61" s="31"/>
      <c r="U61" s="31"/>
      <c r="V61" s="31"/>
      <c r="W61" s="31"/>
      <c r="X61" s="31"/>
      <c r="Y61" s="31">
        <f t="shared" si="0"/>
        <v>0</v>
      </c>
      <c r="Z61" s="429">
        <v>40000</v>
      </c>
      <c r="AA61" s="104" t="s">
        <v>559</v>
      </c>
      <c r="AB61" s="41">
        <v>44232</v>
      </c>
      <c r="AC61" s="89">
        <v>44250</v>
      </c>
      <c r="AD61" s="219"/>
      <c r="AE61" s="35"/>
      <c r="AF61" s="36"/>
      <c r="AG61" s="89"/>
      <c r="AH61" s="32"/>
      <c r="AI61" s="33"/>
      <c r="AJ61" s="36"/>
      <c r="AK61" s="89"/>
      <c r="AL61" s="32"/>
      <c r="AM61" s="33"/>
      <c r="AN61" s="36"/>
      <c r="AO61" s="89"/>
      <c r="AP61" s="32"/>
      <c r="AQ61" s="33"/>
      <c r="AR61" s="36"/>
      <c r="AS61" s="89"/>
      <c r="AT61" s="270">
        <f t="shared" si="1"/>
        <v>40000</v>
      </c>
      <c r="AU61" s="38">
        <f t="shared" si="2"/>
        <v>40000</v>
      </c>
    </row>
    <row r="62" spans="2:47" s="26" customFormat="1" ht="22.5" x14ac:dyDescent="0.25">
      <c r="B62" s="276">
        <v>47</v>
      </c>
      <c r="C62" s="432" t="s">
        <v>514</v>
      </c>
      <c r="D62" s="424">
        <v>30485780</v>
      </c>
      <c r="E62" s="219" t="s">
        <v>581</v>
      </c>
      <c r="F62" s="304" t="s">
        <v>147</v>
      </c>
      <c r="G62" s="30" t="s">
        <v>510</v>
      </c>
      <c r="H62" s="42" t="s">
        <v>526</v>
      </c>
      <c r="I62" s="274" t="s">
        <v>72</v>
      </c>
      <c r="J62" s="426">
        <v>710334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/>
      <c r="Q62" s="31"/>
      <c r="R62" s="31"/>
      <c r="S62" s="31"/>
      <c r="T62" s="31"/>
      <c r="U62" s="31"/>
      <c r="V62" s="31"/>
      <c r="W62" s="31"/>
      <c r="X62" s="31"/>
      <c r="Y62" s="31">
        <f t="shared" si="0"/>
        <v>0</v>
      </c>
      <c r="Z62" s="429">
        <v>1</v>
      </c>
      <c r="AA62" s="104" t="s">
        <v>559</v>
      </c>
      <c r="AB62" s="41">
        <v>44232</v>
      </c>
      <c r="AC62" s="89">
        <v>44250</v>
      </c>
      <c r="AD62" s="219"/>
      <c r="AE62" s="35"/>
      <c r="AF62" s="36"/>
      <c r="AG62" s="89"/>
      <c r="AH62" s="32"/>
      <c r="AI62" s="33"/>
      <c r="AJ62" s="36"/>
      <c r="AK62" s="89"/>
      <c r="AL62" s="32"/>
      <c r="AM62" s="33"/>
      <c r="AN62" s="36"/>
      <c r="AO62" s="89"/>
      <c r="AP62" s="32"/>
      <c r="AQ62" s="33"/>
      <c r="AR62" s="36"/>
      <c r="AS62" s="89"/>
      <c r="AT62" s="270">
        <f t="shared" si="1"/>
        <v>1</v>
      </c>
      <c r="AU62" s="38">
        <f t="shared" si="2"/>
        <v>1</v>
      </c>
    </row>
    <row r="63" spans="2:47" s="26" customFormat="1" ht="22.5" x14ac:dyDescent="0.25">
      <c r="B63" s="276">
        <v>48</v>
      </c>
      <c r="C63" s="432" t="s">
        <v>514</v>
      </c>
      <c r="D63" s="424">
        <v>40010037</v>
      </c>
      <c r="E63" s="219" t="s">
        <v>582</v>
      </c>
      <c r="F63" s="304" t="s">
        <v>147</v>
      </c>
      <c r="G63" s="30" t="s">
        <v>510</v>
      </c>
      <c r="H63" s="42" t="s">
        <v>583</v>
      </c>
      <c r="I63" s="274" t="s">
        <v>72</v>
      </c>
      <c r="J63" s="426">
        <v>394910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1"/>
      <c r="Q63" s="31"/>
      <c r="R63" s="31"/>
      <c r="S63" s="31"/>
      <c r="T63" s="31"/>
      <c r="U63" s="31"/>
      <c r="V63" s="31"/>
      <c r="W63" s="31"/>
      <c r="X63" s="31"/>
      <c r="Y63" s="31">
        <f t="shared" si="0"/>
        <v>0</v>
      </c>
      <c r="Z63" s="429">
        <v>10000</v>
      </c>
      <c r="AA63" s="104" t="s">
        <v>559</v>
      </c>
      <c r="AB63" s="41">
        <v>44232</v>
      </c>
      <c r="AC63" s="89">
        <v>44250</v>
      </c>
      <c r="AD63" s="219"/>
      <c r="AE63" s="35"/>
      <c r="AF63" s="36"/>
      <c r="AG63" s="89"/>
      <c r="AH63" s="32"/>
      <c r="AI63" s="33"/>
      <c r="AJ63" s="36"/>
      <c r="AK63" s="89"/>
      <c r="AL63" s="32"/>
      <c r="AM63" s="33"/>
      <c r="AN63" s="36"/>
      <c r="AO63" s="89"/>
      <c r="AP63" s="32"/>
      <c r="AQ63" s="33"/>
      <c r="AR63" s="36"/>
      <c r="AS63" s="89"/>
      <c r="AT63" s="270">
        <f t="shared" si="1"/>
        <v>10000</v>
      </c>
      <c r="AU63" s="38">
        <f t="shared" si="2"/>
        <v>10000</v>
      </c>
    </row>
    <row r="64" spans="2:47" s="26" customFormat="1" ht="22.5" x14ac:dyDescent="0.25">
      <c r="B64" s="276">
        <v>49</v>
      </c>
      <c r="C64" s="432" t="s">
        <v>514</v>
      </c>
      <c r="D64" s="424">
        <v>40010398</v>
      </c>
      <c r="E64" s="219" t="s">
        <v>584</v>
      </c>
      <c r="F64" s="304" t="s">
        <v>193</v>
      </c>
      <c r="G64" s="30" t="s">
        <v>510</v>
      </c>
      <c r="H64" s="42" t="s">
        <v>552</v>
      </c>
      <c r="I64" s="274" t="s">
        <v>72</v>
      </c>
      <c r="J64" s="426">
        <v>79831</v>
      </c>
      <c r="K64" s="31">
        <v>0</v>
      </c>
      <c r="L64" s="31">
        <v>921</v>
      </c>
      <c r="M64" s="31">
        <v>0</v>
      </c>
      <c r="N64" s="31">
        <v>0</v>
      </c>
      <c r="O64" s="31">
        <v>0</v>
      </c>
      <c r="P64" s="31"/>
      <c r="Q64" s="31"/>
      <c r="R64" s="31"/>
      <c r="S64" s="31"/>
      <c r="T64" s="31"/>
      <c r="U64" s="31"/>
      <c r="V64" s="31"/>
      <c r="W64" s="31"/>
      <c r="X64" s="31"/>
      <c r="Y64" s="31">
        <f t="shared" si="0"/>
        <v>0</v>
      </c>
      <c r="Z64" s="429">
        <v>11200</v>
      </c>
      <c r="AA64" s="104" t="s">
        <v>559</v>
      </c>
      <c r="AB64" s="41">
        <v>44232</v>
      </c>
      <c r="AC64" s="89">
        <v>44250</v>
      </c>
      <c r="AD64" s="219"/>
      <c r="AE64" s="35"/>
      <c r="AF64" s="36"/>
      <c r="AG64" s="89"/>
      <c r="AH64" s="32"/>
      <c r="AI64" s="33"/>
      <c r="AJ64" s="36"/>
      <c r="AK64" s="89"/>
      <c r="AL64" s="32"/>
      <c r="AM64" s="33"/>
      <c r="AN64" s="36"/>
      <c r="AO64" s="89"/>
      <c r="AP64" s="32"/>
      <c r="AQ64" s="33"/>
      <c r="AR64" s="36"/>
      <c r="AS64" s="89"/>
      <c r="AT64" s="270">
        <f t="shared" si="1"/>
        <v>11200</v>
      </c>
      <c r="AU64" s="38">
        <f t="shared" si="2"/>
        <v>11200</v>
      </c>
    </row>
    <row r="65" spans="2:47" s="26" customFormat="1" ht="22.5" x14ac:dyDescent="0.25">
      <c r="B65" s="276">
        <v>50</v>
      </c>
      <c r="C65" s="432" t="s">
        <v>514</v>
      </c>
      <c r="D65" s="424">
        <v>40011235</v>
      </c>
      <c r="E65" s="219" t="s">
        <v>585</v>
      </c>
      <c r="F65" s="304" t="s">
        <v>193</v>
      </c>
      <c r="G65" s="30" t="s">
        <v>510</v>
      </c>
      <c r="H65" s="42" t="s">
        <v>586</v>
      </c>
      <c r="I65" s="274" t="s">
        <v>72</v>
      </c>
      <c r="J65" s="426">
        <v>61350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/>
      <c r="Q65" s="31"/>
      <c r="R65" s="31"/>
      <c r="S65" s="31"/>
      <c r="T65" s="31"/>
      <c r="U65" s="31"/>
      <c r="V65" s="31"/>
      <c r="W65" s="31"/>
      <c r="X65" s="31"/>
      <c r="Y65" s="31">
        <f t="shared" si="0"/>
        <v>0</v>
      </c>
      <c r="Z65" s="429">
        <v>5000</v>
      </c>
      <c r="AA65" s="104" t="s">
        <v>559</v>
      </c>
      <c r="AB65" s="41">
        <v>44232</v>
      </c>
      <c r="AC65" s="89">
        <v>44250</v>
      </c>
      <c r="AD65" s="219"/>
      <c r="AE65" s="35"/>
      <c r="AF65" s="36"/>
      <c r="AG65" s="89"/>
      <c r="AH65" s="32"/>
      <c r="AI65" s="33"/>
      <c r="AJ65" s="36"/>
      <c r="AK65" s="89"/>
      <c r="AL65" s="32"/>
      <c r="AM65" s="33"/>
      <c r="AN65" s="36"/>
      <c r="AO65" s="89"/>
      <c r="AP65" s="32"/>
      <c r="AQ65" s="33"/>
      <c r="AR65" s="36"/>
      <c r="AS65" s="89"/>
      <c r="AT65" s="270">
        <f t="shared" si="1"/>
        <v>5000</v>
      </c>
      <c r="AU65" s="38">
        <f t="shared" si="2"/>
        <v>5000</v>
      </c>
    </row>
    <row r="66" spans="2:47" s="26" customFormat="1" ht="22.5" x14ac:dyDescent="0.25">
      <c r="B66" s="276">
        <v>51</v>
      </c>
      <c r="C66" s="432" t="s">
        <v>514</v>
      </c>
      <c r="D66" s="424">
        <v>40011424</v>
      </c>
      <c r="E66" s="219" t="s">
        <v>587</v>
      </c>
      <c r="F66" s="304" t="s">
        <v>147</v>
      </c>
      <c r="G66" s="30" t="s">
        <v>510</v>
      </c>
      <c r="H66" s="42" t="s">
        <v>552</v>
      </c>
      <c r="I66" s="274" t="s">
        <v>72</v>
      </c>
      <c r="J66" s="426">
        <v>1066796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/>
      <c r="Q66" s="31"/>
      <c r="R66" s="31"/>
      <c r="S66" s="31"/>
      <c r="T66" s="31"/>
      <c r="U66" s="31"/>
      <c r="V66" s="31"/>
      <c r="W66" s="31"/>
      <c r="X66" s="31"/>
      <c r="Y66" s="31">
        <f t="shared" si="0"/>
        <v>0</v>
      </c>
      <c r="Z66" s="429">
        <v>602097</v>
      </c>
      <c r="AA66" s="104" t="s">
        <v>559</v>
      </c>
      <c r="AB66" s="41">
        <v>44232</v>
      </c>
      <c r="AC66" s="89">
        <v>44250</v>
      </c>
      <c r="AD66" s="219"/>
      <c r="AE66" s="35"/>
      <c r="AF66" s="36"/>
      <c r="AG66" s="89"/>
      <c r="AH66" s="32"/>
      <c r="AI66" s="33"/>
      <c r="AJ66" s="36"/>
      <c r="AK66" s="89"/>
      <c r="AL66" s="32"/>
      <c r="AM66" s="33"/>
      <c r="AN66" s="36"/>
      <c r="AO66" s="89"/>
      <c r="AP66" s="32"/>
      <c r="AQ66" s="33"/>
      <c r="AR66" s="36"/>
      <c r="AS66" s="89"/>
      <c r="AT66" s="270">
        <f t="shared" si="1"/>
        <v>602097</v>
      </c>
      <c r="AU66" s="38">
        <f t="shared" si="2"/>
        <v>602097</v>
      </c>
    </row>
    <row r="67" spans="2:47" s="26" customFormat="1" ht="22.5" x14ac:dyDescent="0.25">
      <c r="B67" s="276">
        <v>52</v>
      </c>
      <c r="C67" s="432" t="s">
        <v>514</v>
      </c>
      <c r="D67" s="433">
        <v>40011449</v>
      </c>
      <c r="E67" s="219" t="s">
        <v>588</v>
      </c>
      <c r="F67" s="304" t="s">
        <v>147</v>
      </c>
      <c r="G67" s="30" t="s">
        <v>510</v>
      </c>
      <c r="H67" s="42" t="s">
        <v>552</v>
      </c>
      <c r="I67" s="274" t="s">
        <v>72</v>
      </c>
      <c r="J67" s="426">
        <v>1276066</v>
      </c>
      <c r="K67" s="31">
        <v>0</v>
      </c>
      <c r="L67" s="31">
        <v>773969</v>
      </c>
      <c r="M67" s="31">
        <v>0</v>
      </c>
      <c r="N67" s="31">
        <v>0</v>
      </c>
      <c r="O67" s="31">
        <v>0</v>
      </c>
      <c r="P67" s="31"/>
      <c r="Q67" s="31"/>
      <c r="R67" s="31"/>
      <c r="S67" s="31"/>
      <c r="T67" s="31"/>
      <c r="U67" s="31"/>
      <c r="V67" s="31"/>
      <c r="W67" s="31"/>
      <c r="X67" s="31"/>
      <c r="Y67" s="31">
        <f t="shared" si="0"/>
        <v>0</v>
      </c>
      <c r="Z67" s="429">
        <v>400000</v>
      </c>
      <c r="AA67" s="104" t="s">
        <v>559</v>
      </c>
      <c r="AB67" s="41">
        <v>44232</v>
      </c>
      <c r="AC67" s="89">
        <v>44250</v>
      </c>
      <c r="AD67" s="219"/>
      <c r="AE67" s="35"/>
      <c r="AF67" s="36"/>
      <c r="AG67" s="89"/>
      <c r="AH67" s="32"/>
      <c r="AI67" s="33"/>
      <c r="AJ67" s="36"/>
      <c r="AK67" s="89"/>
      <c r="AL67" s="32"/>
      <c r="AM67" s="33"/>
      <c r="AN67" s="36"/>
      <c r="AO67" s="89"/>
      <c r="AP67" s="32"/>
      <c r="AQ67" s="33"/>
      <c r="AR67" s="36"/>
      <c r="AS67" s="89"/>
      <c r="AT67" s="270">
        <f t="shared" si="1"/>
        <v>400000</v>
      </c>
      <c r="AU67" s="38">
        <f t="shared" si="2"/>
        <v>400000</v>
      </c>
    </row>
    <row r="68" spans="2:47" s="26" customFormat="1" ht="22.5" x14ac:dyDescent="0.25">
      <c r="B68" s="276">
        <v>53</v>
      </c>
      <c r="C68" s="432" t="s">
        <v>514</v>
      </c>
      <c r="D68" s="433">
        <v>40014384</v>
      </c>
      <c r="E68" s="219" t="s">
        <v>589</v>
      </c>
      <c r="F68" s="304" t="s">
        <v>193</v>
      </c>
      <c r="G68" s="30" t="s">
        <v>510</v>
      </c>
      <c r="H68" s="42" t="s">
        <v>526</v>
      </c>
      <c r="I68" s="274" t="s">
        <v>72</v>
      </c>
      <c r="J68" s="426">
        <v>3139889</v>
      </c>
      <c r="K68" s="31">
        <v>0</v>
      </c>
      <c r="L68" s="31">
        <v>2612127</v>
      </c>
      <c r="M68" s="31">
        <v>0</v>
      </c>
      <c r="N68" s="31">
        <v>0</v>
      </c>
      <c r="O68" s="31">
        <v>0</v>
      </c>
      <c r="P68" s="31"/>
      <c r="Q68" s="31"/>
      <c r="R68" s="31"/>
      <c r="S68" s="31"/>
      <c r="T68" s="31"/>
      <c r="U68" s="31"/>
      <c r="V68" s="31"/>
      <c r="W68" s="31"/>
      <c r="X68" s="31"/>
      <c r="Y68" s="31">
        <f t="shared" si="0"/>
        <v>0</v>
      </c>
      <c r="Z68" s="429">
        <v>527000</v>
      </c>
      <c r="AA68" s="104" t="s">
        <v>559</v>
      </c>
      <c r="AB68" s="41">
        <v>44232</v>
      </c>
      <c r="AC68" s="89">
        <v>44250</v>
      </c>
      <c r="AD68" s="219"/>
      <c r="AE68" s="35"/>
      <c r="AF68" s="36"/>
      <c r="AG68" s="89"/>
      <c r="AH68" s="32"/>
      <c r="AI68" s="33"/>
      <c r="AJ68" s="36"/>
      <c r="AK68" s="89"/>
      <c r="AL68" s="32"/>
      <c r="AM68" s="33"/>
      <c r="AN68" s="36"/>
      <c r="AO68" s="89"/>
      <c r="AP68" s="32"/>
      <c r="AQ68" s="33"/>
      <c r="AR68" s="36"/>
      <c r="AS68" s="89"/>
      <c r="AT68" s="270">
        <f t="shared" si="1"/>
        <v>527000</v>
      </c>
      <c r="AU68" s="38">
        <f t="shared" si="2"/>
        <v>527000</v>
      </c>
    </row>
    <row r="69" spans="2:47" s="26" customFormat="1" x14ac:dyDescent="0.25">
      <c r="B69" s="276">
        <v>54</v>
      </c>
      <c r="C69" s="432" t="s">
        <v>514</v>
      </c>
      <c r="D69" s="433">
        <v>40015132</v>
      </c>
      <c r="E69" s="219" t="s">
        <v>590</v>
      </c>
      <c r="F69" s="304" t="s">
        <v>193</v>
      </c>
      <c r="G69" s="30" t="s">
        <v>510</v>
      </c>
      <c r="H69" s="42" t="s">
        <v>518</v>
      </c>
      <c r="I69" s="274" t="s">
        <v>72</v>
      </c>
      <c r="J69" s="426">
        <v>75966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/>
      <c r="Q69" s="31"/>
      <c r="R69" s="31"/>
      <c r="S69" s="31"/>
      <c r="T69" s="31"/>
      <c r="U69" s="31"/>
      <c r="V69" s="31"/>
      <c r="W69" s="31"/>
      <c r="X69" s="31"/>
      <c r="Y69" s="31">
        <f t="shared" si="0"/>
        <v>0</v>
      </c>
      <c r="Z69" s="429">
        <v>1000</v>
      </c>
      <c r="AA69" s="104" t="s">
        <v>559</v>
      </c>
      <c r="AB69" s="41">
        <v>44232</v>
      </c>
      <c r="AC69" s="89">
        <v>44250</v>
      </c>
      <c r="AD69" s="219"/>
      <c r="AE69" s="35"/>
      <c r="AF69" s="36"/>
      <c r="AG69" s="89"/>
      <c r="AH69" s="32"/>
      <c r="AI69" s="33"/>
      <c r="AJ69" s="36"/>
      <c r="AK69" s="89"/>
      <c r="AL69" s="32"/>
      <c r="AM69" s="33"/>
      <c r="AN69" s="36"/>
      <c r="AO69" s="89"/>
      <c r="AP69" s="32"/>
      <c r="AQ69" s="33"/>
      <c r="AR69" s="36"/>
      <c r="AS69" s="89"/>
      <c r="AT69" s="270">
        <f t="shared" si="1"/>
        <v>1000</v>
      </c>
      <c r="AU69" s="38">
        <f t="shared" si="2"/>
        <v>1000</v>
      </c>
    </row>
    <row r="70" spans="2:47" s="26" customFormat="1" ht="22.5" x14ac:dyDescent="0.25">
      <c r="B70" s="276">
        <v>55</v>
      </c>
      <c r="C70" s="432" t="s">
        <v>514</v>
      </c>
      <c r="D70" s="433">
        <v>40016548</v>
      </c>
      <c r="E70" s="219" t="s">
        <v>591</v>
      </c>
      <c r="F70" s="304" t="s">
        <v>193</v>
      </c>
      <c r="G70" s="30" t="s">
        <v>510</v>
      </c>
      <c r="H70" s="42" t="s">
        <v>526</v>
      </c>
      <c r="I70" s="274" t="s">
        <v>72</v>
      </c>
      <c r="J70" s="426">
        <v>48403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/>
      <c r="Q70" s="31"/>
      <c r="R70" s="31"/>
      <c r="S70" s="31"/>
      <c r="T70" s="31"/>
      <c r="U70" s="31"/>
      <c r="V70" s="31"/>
      <c r="W70" s="31"/>
      <c r="X70" s="31"/>
      <c r="Y70" s="31">
        <f t="shared" si="0"/>
        <v>0</v>
      </c>
      <c r="Z70" s="429">
        <v>5000</v>
      </c>
      <c r="AA70" s="104" t="s">
        <v>559</v>
      </c>
      <c r="AB70" s="41">
        <v>44232</v>
      </c>
      <c r="AC70" s="89">
        <v>44250</v>
      </c>
      <c r="AD70" s="219"/>
      <c r="AE70" s="35"/>
      <c r="AF70" s="36"/>
      <c r="AG70" s="89"/>
      <c r="AH70" s="32"/>
      <c r="AI70" s="33"/>
      <c r="AJ70" s="36"/>
      <c r="AK70" s="89"/>
      <c r="AL70" s="32"/>
      <c r="AM70" s="33"/>
      <c r="AN70" s="36"/>
      <c r="AO70" s="89"/>
      <c r="AP70" s="32"/>
      <c r="AQ70" s="33"/>
      <c r="AR70" s="36"/>
      <c r="AS70" s="89"/>
      <c r="AT70" s="270">
        <f t="shared" si="1"/>
        <v>5000</v>
      </c>
      <c r="AU70" s="38">
        <f t="shared" si="2"/>
        <v>5000</v>
      </c>
    </row>
    <row r="71" spans="2:47" s="26" customFormat="1" ht="22.5" x14ac:dyDescent="0.25">
      <c r="B71" s="276">
        <v>56</v>
      </c>
      <c r="C71" s="432" t="s">
        <v>514</v>
      </c>
      <c r="D71" s="433">
        <v>40016564</v>
      </c>
      <c r="E71" s="219" t="s">
        <v>592</v>
      </c>
      <c r="F71" s="304" t="s">
        <v>147</v>
      </c>
      <c r="G71" s="30" t="s">
        <v>510</v>
      </c>
      <c r="H71" s="42" t="s">
        <v>571</v>
      </c>
      <c r="I71" s="274" t="s">
        <v>72</v>
      </c>
      <c r="J71" s="426">
        <v>1440986</v>
      </c>
      <c r="K71" s="31">
        <v>1860</v>
      </c>
      <c r="L71" s="31">
        <v>0</v>
      </c>
      <c r="M71" s="31">
        <v>0</v>
      </c>
      <c r="N71" s="31">
        <v>0</v>
      </c>
      <c r="O71" s="31">
        <v>0</v>
      </c>
      <c r="P71" s="31"/>
      <c r="Q71" s="31"/>
      <c r="R71" s="31"/>
      <c r="S71" s="31"/>
      <c r="T71" s="31"/>
      <c r="U71" s="31"/>
      <c r="V71" s="31"/>
      <c r="W71" s="31"/>
      <c r="X71" s="31"/>
      <c r="Y71" s="31">
        <f t="shared" si="0"/>
        <v>0</v>
      </c>
      <c r="Z71" s="429">
        <v>10000</v>
      </c>
      <c r="AA71" s="104" t="s">
        <v>559</v>
      </c>
      <c r="AB71" s="41">
        <v>44232</v>
      </c>
      <c r="AC71" s="89">
        <v>44250</v>
      </c>
      <c r="AD71" s="219"/>
      <c r="AE71" s="35"/>
      <c r="AF71" s="36"/>
      <c r="AG71" s="89"/>
      <c r="AH71" s="32"/>
      <c r="AI71" s="33"/>
      <c r="AJ71" s="36"/>
      <c r="AK71" s="89"/>
      <c r="AL71" s="32"/>
      <c r="AM71" s="33"/>
      <c r="AN71" s="36"/>
      <c r="AO71" s="89"/>
      <c r="AP71" s="32"/>
      <c r="AQ71" s="33"/>
      <c r="AR71" s="36"/>
      <c r="AS71" s="89"/>
      <c r="AT71" s="270">
        <f t="shared" si="1"/>
        <v>10000</v>
      </c>
      <c r="AU71" s="38">
        <f t="shared" si="2"/>
        <v>10000</v>
      </c>
    </row>
    <row r="72" spans="2:47" s="26" customFormat="1" ht="29.25" customHeight="1" x14ac:dyDescent="0.25">
      <c r="B72" s="276">
        <v>57</v>
      </c>
      <c r="C72" s="432" t="s">
        <v>514</v>
      </c>
      <c r="D72" s="433">
        <v>40016701</v>
      </c>
      <c r="E72" s="219" t="s">
        <v>593</v>
      </c>
      <c r="F72" s="304" t="s">
        <v>147</v>
      </c>
      <c r="G72" s="30" t="s">
        <v>510</v>
      </c>
      <c r="H72" s="42" t="s">
        <v>552</v>
      </c>
      <c r="I72" s="274" t="s">
        <v>72</v>
      </c>
      <c r="J72" s="426">
        <v>465184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1"/>
      <c r="Q72" s="31"/>
      <c r="R72" s="31"/>
      <c r="S72" s="31"/>
      <c r="T72" s="31"/>
      <c r="U72" s="31"/>
      <c r="V72" s="31"/>
      <c r="W72" s="31"/>
      <c r="X72" s="31"/>
      <c r="Y72" s="31">
        <f t="shared" si="0"/>
        <v>0</v>
      </c>
      <c r="Z72" s="429">
        <v>10000</v>
      </c>
      <c r="AA72" s="104" t="s">
        <v>559</v>
      </c>
      <c r="AB72" s="41">
        <v>44232</v>
      </c>
      <c r="AC72" s="89">
        <v>44250</v>
      </c>
      <c r="AD72" s="219"/>
      <c r="AE72" s="35"/>
      <c r="AF72" s="36"/>
      <c r="AG72" s="89"/>
      <c r="AH72" s="32"/>
      <c r="AI72" s="33"/>
      <c r="AJ72" s="36"/>
      <c r="AK72" s="89"/>
      <c r="AL72" s="32"/>
      <c r="AM72" s="33"/>
      <c r="AN72" s="36"/>
      <c r="AO72" s="89"/>
      <c r="AP72" s="32"/>
      <c r="AQ72" s="33"/>
      <c r="AR72" s="36"/>
      <c r="AS72" s="89"/>
      <c r="AT72" s="270">
        <f t="shared" si="1"/>
        <v>10000</v>
      </c>
      <c r="AU72" s="38">
        <f t="shared" si="2"/>
        <v>10000</v>
      </c>
    </row>
    <row r="73" spans="2:47" s="26" customFormat="1" ht="22.5" x14ac:dyDescent="0.25">
      <c r="B73" s="276">
        <v>58</v>
      </c>
      <c r="C73" s="432" t="s">
        <v>514</v>
      </c>
      <c r="D73" s="433">
        <v>40019013</v>
      </c>
      <c r="E73" s="219" t="s">
        <v>594</v>
      </c>
      <c r="F73" s="304" t="s">
        <v>147</v>
      </c>
      <c r="G73" s="30" t="s">
        <v>510</v>
      </c>
      <c r="H73" s="42" t="s">
        <v>552</v>
      </c>
      <c r="I73" s="274" t="s">
        <v>72</v>
      </c>
      <c r="J73" s="426">
        <v>501799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/>
      <c r="Q73" s="31"/>
      <c r="R73" s="31"/>
      <c r="S73" s="31"/>
      <c r="T73" s="31"/>
      <c r="U73" s="31"/>
      <c r="V73" s="31"/>
      <c r="W73" s="31"/>
      <c r="X73" s="31"/>
      <c r="Y73" s="31">
        <f t="shared" si="0"/>
        <v>0</v>
      </c>
      <c r="Z73" s="429">
        <v>101000</v>
      </c>
      <c r="AA73" s="104" t="s">
        <v>559</v>
      </c>
      <c r="AB73" s="41">
        <v>44232</v>
      </c>
      <c r="AC73" s="89">
        <v>44250</v>
      </c>
      <c r="AD73" s="219"/>
      <c r="AE73" s="35"/>
      <c r="AF73" s="36"/>
      <c r="AG73" s="89"/>
      <c r="AH73" s="32"/>
      <c r="AI73" s="33"/>
      <c r="AJ73" s="36"/>
      <c r="AK73" s="89"/>
      <c r="AL73" s="32"/>
      <c r="AM73" s="33"/>
      <c r="AN73" s="36"/>
      <c r="AO73" s="89"/>
      <c r="AP73" s="32"/>
      <c r="AQ73" s="33"/>
      <c r="AR73" s="36"/>
      <c r="AS73" s="89"/>
      <c r="AT73" s="270">
        <f t="shared" si="1"/>
        <v>101000</v>
      </c>
      <c r="AU73" s="38">
        <f t="shared" si="2"/>
        <v>101000</v>
      </c>
    </row>
    <row r="74" spans="2:47" s="26" customFormat="1" ht="22.5" x14ac:dyDescent="0.25">
      <c r="B74" s="276">
        <v>59</v>
      </c>
      <c r="C74" s="432" t="s">
        <v>514</v>
      </c>
      <c r="D74" s="433">
        <v>40019625</v>
      </c>
      <c r="E74" s="219" t="s">
        <v>595</v>
      </c>
      <c r="F74" s="304" t="s">
        <v>147</v>
      </c>
      <c r="G74" s="30" t="s">
        <v>510</v>
      </c>
      <c r="H74" s="42" t="s">
        <v>552</v>
      </c>
      <c r="I74" s="274" t="s">
        <v>72</v>
      </c>
      <c r="J74" s="426">
        <v>918029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/>
      <c r="Q74" s="31"/>
      <c r="R74" s="31"/>
      <c r="S74" s="31"/>
      <c r="T74" s="31"/>
      <c r="U74" s="31"/>
      <c r="V74" s="31"/>
      <c r="W74" s="31"/>
      <c r="X74" s="31"/>
      <c r="Y74" s="31">
        <f t="shared" si="0"/>
        <v>0</v>
      </c>
      <c r="Z74" s="429">
        <v>101000</v>
      </c>
      <c r="AA74" s="104" t="s">
        <v>559</v>
      </c>
      <c r="AB74" s="41">
        <v>44232</v>
      </c>
      <c r="AC74" s="89">
        <v>44250</v>
      </c>
      <c r="AD74" s="219"/>
      <c r="AE74" s="35"/>
      <c r="AF74" s="36"/>
      <c r="AG74" s="89"/>
      <c r="AH74" s="32"/>
      <c r="AI74" s="33"/>
      <c r="AJ74" s="36"/>
      <c r="AK74" s="89"/>
      <c r="AL74" s="32"/>
      <c r="AM74" s="33"/>
      <c r="AN74" s="36"/>
      <c r="AO74" s="89"/>
      <c r="AP74" s="32"/>
      <c r="AQ74" s="33"/>
      <c r="AR74" s="36"/>
      <c r="AS74" s="89"/>
      <c r="AT74" s="270">
        <f t="shared" si="1"/>
        <v>101000</v>
      </c>
      <c r="AU74" s="38">
        <f t="shared" si="2"/>
        <v>101000</v>
      </c>
    </row>
    <row r="75" spans="2:47" s="26" customFormat="1" ht="22.5" x14ac:dyDescent="0.25">
      <c r="B75" s="276">
        <v>60</v>
      </c>
      <c r="C75" s="432" t="s">
        <v>514</v>
      </c>
      <c r="D75" s="433">
        <v>40021626</v>
      </c>
      <c r="E75" s="219" t="s">
        <v>596</v>
      </c>
      <c r="F75" s="304" t="s">
        <v>147</v>
      </c>
      <c r="G75" s="30" t="s">
        <v>510</v>
      </c>
      <c r="H75" s="42" t="s">
        <v>552</v>
      </c>
      <c r="I75" s="274" t="s">
        <v>72</v>
      </c>
      <c r="J75" s="426">
        <v>1676113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1"/>
      <c r="Q75" s="31"/>
      <c r="R75" s="31"/>
      <c r="S75" s="31"/>
      <c r="T75" s="31"/>
      <c r="U75" s="31"/>
      <c r="V75" s="31"/>
      <c r="W75" s="31"/>
      <c r="X75" s="31"/>
      <c r="Y75" s="31">
        <f t="shared" si="0"/>
        <v>0</v>
      </c>
      <c r="Z75" s="429">
        <v>201000</v>
      </c>
      <c r="AA75" s="104" t="s">
        <v>559</v>
      </c>
      <c r="AB75" s="41">
        <v>44232</v>
      </c>
      <c r="AC75" s="89">
        <v>44250</v>
      </c>
      <c r="AD75" s="219"/>
      <c r="AE75" s="35"/>
      <c r="AF75" s="36"/>
      <c r="AG75" s="89"/>
      <c r="AH75" s="32"/>
      <c r="AI75" s="33"/>
      <c r="AJ75" s="36"/>
      <c r="AK75" s="89"/>
      <c r="AL75" s="32"/>
      <c r="AM75" s="33"/>
      <c r="AN75" s="36"/>
      <c r="AO75" s="89"/>
      <c r="AP75" s="32"/>
      <c r="AQ75" s="33"/>
      <c r="AR75" s="36"/>
      <c r="AS75" s="89"/>
      <c r="AT75" s="270">
        <f t="shared" si="1"/>
        <v>201000</v>
      </c>
      <c r="AU75" s="38">
        <f t="shared" si="2"/>
        <v>201000</v>
      </c>
    </row>
    <row r="76" spans="2:47" s="26" customFormat="1" ht="22.5" x14ac:dyDescent="0.25">
      <c r="B76" s="276">
        <v>61</v>
      </c>
      <c r="C76" s="432" t="s">
        <v>514</v>
      </c>
      <c r="D76" s="433" t="s">
        <v>597</v>
      </c>
      <c r="E76" s="219" t="s">
        <v>598</v>
      </c>
      <c r="F76" s="304" t="s">
        <v>193</v>
      </c>
      <c r="G76" s="30" t="s">
        <v>510</v>
      </c>
      <c r="H76" s="42" t="s">
        <v>518</v>
      </c>
      <c r="I76" s="274" t="s">
        <v>72</v>
      </c>
      <c r="J76" s="426">
        <v>188835</v>
      </c>
      <c r="K76" s="31">
        <v>0</v>
      </c>
      <c r="L76" s="31">
        <v>131765</v>
      </c>
      <c r="M76" s="31">
        <v>0</v>
      </c>
      <c r="N76" s="31">
        <v>0</v>
      </c>
      <c r="O76" s="31">
        <v>0</v>
      </c>
      <c r="P76" s="31"/>
      <c r="Q76" s="31"/>
      <c r="R76" s="31"/>
      <c r="S76" s="31"/>
      <c r="T76" s="31"/>
      <c r="U76" s="31"/>
      <c r="V76" s="31"/>
      <c r="W76" s="31"/>
      <c r="X76" s="31"/>
      <c r="Y76" s="31">
        <f t="shared" si="0"/>
        <v>0</v>
      </c>
      <c r="Z76" s="429">
        <v>50001</v>
      </c>
      <c r="AA76" s="104" t="s">
        <v>559</v>
      </c>
      <c r="AB76" s="41">
        <v>44232</v>
      </c>
      <c r="AC76" s="89">
        <v>44250</v>
      </c>
      <c r="AD76" s="219"/>
      <c r="AE76" s="35"/>
      <c r="AF76" s="36"/>
      <c r="AG76" s="89"/>
      <c r="AH76" s="32"/>
      <c r="AI76" s="33"/>
      <c r="AJ76" s="36"/>
      <c r="AK76" s="89"/>
      <c r="AL76" s="32"/>
      <c r="AM76" s="33"/>
      <c r="AN76" s="36"/>
      <c r="AO76" s="89"/>
      <c r="AP76" s="32"/>
      <c r="AQ76" s="33"/>
      <c r="AR76" s="36"/>
      <c r="AS76" s="89"/>
      <c r="AT76" s="270">
        <f t="shared" si="1"/>
        <v>50001</v>
      </c>
      <c r="AU76" s="38">
        <f t="shared" si="2"/>
        <v>50001</v>
      </c>
    </row>
    <row r="77" spans="2:47" s="26" customFormat="1" ht="33.75" x14ac:dyDescent="0.25">
      <c r="B77" s="276">
        <v>29</v>
      </c>
      <c r="C77" s="430" t="s">
        <v>514</v>
      </c>
      <c r="D77" s="433" t="s">
        <v>599</v>
      </c>
      <c r="E77" s="219" t="s">
        <v>600</v>
      </c>
      <c r="F77" s="304" t="s">
        <v>193</v>
      </c>
      <c r="G77" s="30" t="s">
        <v>510</v>
      </c>
      <c r="H77" s="42" t="s">
        <v>526</v>
      </c>
      <c r="I77" s="274" t="s">
        <v>72</v>
      </c>
      <c r="J77" s="426">
        <v>395150</v>
      </c>
      <c r="K77" s="31">
        <v>0</v>
      </c>
      <c r="L77" s="31">
        <v>393048</v>
      </c>
      <c r="M77" s="31">
        <v>0</v>
      </c>
      <c r="N77" s="31">
        <v>0</v>
      </c>
      <c r="O77" s="31">
        <v>0</v>
      </c>
      <c r="P77" s="31"/>
      <c r="Q77" s="31"/>
      <c r="R77" s="31"/>
      <c r="S77" s="31"/>
      <c r="T77" s="31"/>
      <c r="U77" s="31"/>
      <c r="V77" s="31"/>
      <c r="W77" s="31"/>
      <c r="X77" s="31"/>
      <c r="Y77" s="31">
        <f t="shared" si="0"/>
        <v>0</v>
      </c>
      <c r="Z77" s="434">
        <v>2102</v>
      </c>
      <c r="AA77" s="435" t="s">
        <v>2020</v>
      </c>
      <c r="AB77" s="41">
        <v>44271</v>
      </c>
      <c r="AC77" s="89">
        <v>44284</v>
      </c>
      <c r="AD77" s="32"/>
      <c r="AE77" s="35"/>
      <c r="AF77" s="36"/>
      <c r="AG77" s="89"/>
      <c r="AH77" s="32"/>
      <c r="AI77" s="33"/>
      <c r="AJ77" s="36"/>
      <c r="AK77" s="89"/>
      <c r="AL77" s="32"/>
      <c r="AM77" s="33"/>
      <c r="AN77" s="36"/>
      <c r="AO77" s="89"/>
      <c r="AP77" s="32"/>
      <c r="AQ77" s="33"/>
      <c r="AR77" s="36"/>
      <c r="AS77" s="89"/>
      <c r="AT77" s="270">
        <f t="shared" si="1"/>
        <v>2102</v>
      </c>
      <c r="AU77" s="38">
        <f t="shared" si="2"/>
        <v>2102</v>
      </c>
    </row>
    <row r="78" spans="2:47" s="26" customFormat="1" x14ac:dyDescent="0.25">
      <c r="B78" s="276"/>
      <c r="C78" s="432"/>
      <c r="D78" s="433"/>
      <c r="E78" s="304"/>
      <c r="F78" s="304"/>
      <c r="G78" s="30"/>
      <c r="H78" s="42"/>
      <c r="I78" s="274"/>
      <c r="J78" s="274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>
        <f t="shared" si="0"/>
        <v>0</v>
      </c>
      <c r="Z78" s="434"/>
      <c r="AA78" s="33"/>
      <c r="AB78" s="34"/>
      <c r="AC78" s="90"/>
      <c r="AD78" s="32"/>
      <c r="AE78" s="35"/>
      <c r="AF78" s="36"/>
      <c r="AG78" s="89"/>
      <c r="AH78" s="32"/>
      <c r="AI78" s="33"/>
      <c r="AJ78" s="36"/>
      <c r="AK78" s="89"/>
      <c r="AL78" s="32"/>
      <c r="AM78" s="33"/>
      <c r="AN78" s="36"/>
      <c r="AO78" s="89"/>
      <c r="AP78" s="32"/>
      <c r="AQ78" s="33"/>
      <c r="AR78" s="36"/>
      <c r="AS78" s="89"/>
      <c r="AT78" s="270">
        <f t="shared" si="1"/>
        <v>0</v>
      </c>
      <c r="AU78" s="38">
        <f t="shared" si="2"/>
        <v>0</v>
      </c>
    </row>
    <row r="79" spans="2:47" s="26" customFormat="1" x14ac:dyDescent="0.25">
      <c r="B79" s="276"/>
      <c r="C79" s="432"/>
      <c r="D79" s="433"/>
      <c r="E79" s="304"/>
      <c r="F79" s="304"/>
      <c r="G79" s="30"/>
      <c r="H79" s="42"/>
      <c r="I79" s="274"/>
      <c r="J79" s="274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>
        <f t="shared" si="0"/>
        <v>0</v>
      </c>
      <c r="Z79" s="434"/>
      <c r="AA79" s="33"/>
      <c r="AB79" s="34"/>
      <c r="AC79" s="90"/>
      <c r="AD79" s="32"/>
      <c r="AE79" s="35"/>
      <c r="AF79" s="36"/>
      <c r="AG79" s="89"/>
      <c r="AH79" s="32"/>
      <c r="AI79" s="33"/>
      <c r="AJ79" s="36"/>
      <c r="AK79" s="89"/>
      <c r="AL79" s="32"/>
      <c r="AM79" s="33"/>
      <c r="AN79" s="36"/>
      <c r="AO79" s="89"/>
      <c r="AP79" s="32"/>
      <c r="AQ79" s="33"/>
      <c r="AR79" s="36"/>
      <c r="AS79" s="89"/>
      <c r="AT79" s="270">
        <f t="shared" si="1"/>
        <v>0</v>
      </c>
      <c r="AU79" s="38">
        <f t="shared" si="2"/>
        <v>0</v>
      </c>
    </row>
    <row r="80" spans="2:47" s="26" customFormat="1" x14ac:dyDescent="0.25">
      <c r="B80" s="276"/>
      <c r="C80" s="432"/>
      <c r="D80" s="433"/>
      <c r="E80" s="304"/>
      <c r="F80" s="304"/>
      <c r="G80" s="30"/>
      <c r="H80" s="42"/>
      <c r="I80" s="274"/>
      <c r="J80" s="274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>
        <f t="shared" si="0"/>
        <v>0</v>
      </c>
      <c r="Z80" s="434"/>
      <c r="AA80" s="33"/>
      <c r="AB80" s="34"/>
      <c r="AC80" s="90"/>
      <c r="AD80" s="32"/>
      <c r="AE80" s="35"/>
      <c r="AF80" s="36"/>
      <c r="AG80" s="89"/>
      <c r="AH80" s="32"/>
      <c r="AI80" s="33"/>
      <c r="AJ80" s="36"/>
      <c r="AK80" s="89"/>
      <c r="AL80" s="32"/>
      <c r="AM80" s="33"/>
      <c r="AN80" s="36"/>
      <c r="AO80" s="89"/>
      <c r="AP80" s="32"/>
      <c r="AQ80" s="33"/>
      <c r="AR80" s="36"/>
      <c r="AS80" s="89"/>
      <c r="AT80" s="270">
        <f t="shared" si="1"/>
        <v>0</v>
      </c>
      <c r="AU80" s="38">
        <f t="shared" si="2"/>
        <v>0</v>
      </c>
    </row>
    <row r="81" spans="2:47" s="26" customFormat="1" x14ac:dyDescent="0.25">
      <c r="B81" s="276"/>
      <c r="C81" s="432"/>
      <c r="D81" s="433"/>
      <c r="E81" s="304"/>
      <c r="F81" s="304"/>
      <c r="G81" s="30"/>
      <c r="H81" s="42"/>
      <c r="I81" s="274"/>
      <c r="J81" s="274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>
        <f t="shared" ref="Y81:Y84" si="3">SUM(M81:X81)</f>
        <v>0</v>
      </c>
      <c r="Z81" s="434"/>
      <c r="AA81" s="33"/>
      <c r="AB81" s="34"/>
      <c r="AC81" s="90"/>
      <c r="AD81" s="32"/>
      <c r="AE81" s="35"/>
      <c r="AF81" s="36"/>
      <c r="AG81" s="89"/>
      <c r="AH81" s="32"/>
      <c r="AI81" s="33"/>
      <c r="AJ81" s="36"/>
      <c r="AK81" s="89"/>
      <c r="AL81" s="32"/>
      <c r="AM81" s="33"/>
      <c r="AN81" s="36"/>
      <c r="AO81" s="89"/>
      <c r="AP81" s="32"/>
      <c r="AQ81" s="33"/>
      <c r="AR81" s="36"/>
      <c r="AS81" s="89"/>
      <c r="AT81" s="270">
        <f t="shared" ref="AT81:AT120" si="4">+Z81+AD81+AH81+AL81+AP81</f>
        <v>0</v>
      </c>
      <c r="AU81" s="38">
        <f t="shared" ref="AU81:AU120" si="5">+AT81-Y81</f>
        <v>0</v>
      </c>
    </row>
    <row r="82" spans="2:47" s="26" customFormat="1" x14ac:dyDescent="0.25">
      <c r="B82" s="276"/>
      <c r="C82" s="432"/>
      <c r="D82" s="433"/>
      <c r="E82" s="304"/>
      <c r="F82" s="304"/>
      <c r="G82" s="30"/>
      <c r="H82" s="42"/>
      <c r="I82" s="274"/>
      <c r="J82" s="274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>
        <f t="shared" si="3"/>
        <v>0</v>
      </c>
      <c r="Z82" s="434"/>
      <c r="AA82" s="33"/>
      <c r="AB82" s="34"/>
      <c r="AC82" s="90"/>
      <c r="AD82" s="32"/>
      <c r="AE82" s="35"/>
      <c r="AF82" s="36"/>
      <c r="AG82" s="89"/>
      <c r="AH82" s="32"/>
      <c r="AI82" s="33"/>
      <c r="AJ82" s="36"/>
      <c r="AK82" s="89"/>
      <c r="AL82" s="32"/>
      <c r="AM82" s="33"/>
      <c r="AN82" s="36"/>
      <c r="AO82" s="89"/>
      <c r="AP82" s="32"/>
      <c r="AQ82" s="33"/>
      <c r="AR82" s="36"/>
      <c r="AS82" s="89"/>
      <c r="AT82" s="270">
        <f t="shared" si="4"/>
        <v>0</v>
      </c>
      <c r="AU82" s="38">
        <f t="shared" si="5"/>
        <v>0</v>
      </c>
    </row>
    <row r="83" spans="2:47" s="26" customFormat="1" x14ac:dyDescent="0.25">
      <c r="B83" s="276"/>
      <c r="C83" s="432"/>
      <c r="D83" s="433"/>
      <c r="E83" s="304"/>
      <c r="F83" s="304"/>
      <c r="G83" s="30"/>
      <c r="H83" s="42"/>
      <c r="I83" s="274"/>
      <c r="J83" s="274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>
        <f t="shared" si="3"/>
        <v>0</v>
      </c>
      <c r="Z83" s="434"/>
      <c r="AA83" s="33"/>
      <c r="AB83" s="36"/>
      <c r="AC83" s="89"/>
      <c r="AD83" s="32"/>
      <c r="AE83" s="35"/>
      <c r="AF83" s="36"/>
      <c r="AG83" s="89"/>
      <c r="AH83" s="32"/>
      <c r="AI83" s="33"/>
      <c r="AJ83" s="36"/>
      <c r="AK83" s="89"/>
      <c r="AL83" s="32"/>
      <c r="AM83" s="33"/>
      <c r="AN83" s="36"/>
      <c r="AO83" s="89"/>
      <c r="AP83" s="32"/>
      <c r="AQ83" s="33"/>
      <c r="AR83" s="36"/>
      <c r="AS83" s="89"/>
      <c r="AT83" s="270">
        <f t="shared" si="4"/>
        <v>0</v>
      </c>
      <c r="AU83" s="38">
        <f t="shared" si="5"/>
        <v>0</v>
      </c>
    </row>
    <row r="84" spans="2:47" s="26" customFormat="1" x14ac:dyDescent="0.25">
      <c r="B84" s="276"/>
      <c r="C84" s="432"/>
      <c r="D84" s="433"/>
      <c r="E84" s="304"/>
      <c r="F84" s="304"/>
      <c r="G84" s="30"/>
      <c r="H84" s="42"/>
      <c r="I84" s="274"/>
      <c r="J84" s="274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>
        <f t="shared" si="3"/>
        <v>0</v>
      </c>
      <c r="Z84" s="434"/>
      <c r="AA84" s="33"/>
      <c r="AB84" s="36"/>
      <c r="AC84" s="89"/>
      <c r="AD84" s="32"/>
      <c r="AE84" s="35"/>
      <c r="AF84" s="36"/>
      <c r="AG84" s="89"/>
      <c r="AH84" s="32"/>
      <c r="AI84" s="33"/>
      <c r="AJ84" s="36"/>
      <c r="AK84" s="89"/>
      <c r="AL84" s="32"/>
      <c r="AM84" s="33"/>
      <c r="AN84" s="36"/>
      <c r="AO84" s="89"/>
      <c r="AP84" s="32"/>
      <c r="AQ84" s="33"/>
      <c r="AR84" s="36"/>
      <c r="AS84" s="89"/>
      <c r="AT84" s="270">
        <f t="shared" si="4"/>
        <v>0</v>
      </c>
      <c r="AU84" s="38">
        <f t="shared" si="5"/>
        <v>0</v>
      </c>
    </row>
    <row r="85" spans="2:47" s="26" customFormat="1" x14ac:dyDescent="0.25">
      <c r="B85" s="276"/>
      <c r="C85" s="432"/>
      <c r="D85" s="433"/>
      <c r="E85" s="304"/>
      <c r="F85" s="304"/>
      <c r="G85" s="30"/>
      <c r="H85" s="42"/>
      <c r="I85" s="274"/>
      <c r="J85" s="274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>
        <f>SUM(M85:X85)</f>
        <v>0</v>
      </c>
      <c r="Z85" s="434"/>
      <c r="AA85" s="33"/>
      <c r="AB85" s="36"/>
      <c r="AC85" s="89"/>
      <c r="AD85" s="32"/>
      <c r="AE85" s="35"/>
      <c r="AF85" s="36"/>
      <c r="AG85" s="89"/>
      <c r="AH85" s="32"/>
      <c r="AI85" s="33"/>
      <c r="AJ85" s="36"/>
      <c r="AK85" s="89"/>
      <c r="AL85" s="32"/>
      <c r="AM85" s="33"/>
      <c r="AN85" s="36"/>
      <c r="AO85" s="89"/>
      <c r="AP85" s="32"/>
      <c r="AQ85" s="33"/>
      <c r="AR85" s="36"/>
      <c r="AS85" s="89"/>
      <c r="AT85" s="270">
        <f t="shared" si="4"/>
        <v>0</v>
      </c>
      <c r="AU85" s="38">
        <f t="shared" si="5"/>
        <v>0</v>
      </c>
    </row>
    <row r="86" spans="2:47" s="26" customFormat="1" x14ac:dyDescent="0.25">
      <c r="B86" s="276"/>
      <c r="C86" s="432"/>
      <c r="D86" s="433"/>
      <c r="E86" s="304"/>
      <c r="F86" s="304"/>
      <c r="G86" s="30"/>
      <c r="H86" s="42"/>
      <c r="I86" s="274"/>
      <c r="J86" s="274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>
        <f t="shared" ref="Y86:Y121" si="6">SUM(M86:X86)</f>
        <v>0</v>
      </c>
      <c r="Z86" s="434"/>
      <c r="AA86" s="33"/>
      <c r="AB86" s="36"/>
      <c r="AC86" s="89"/>
      <c r="AD86" s="32"/>
      <c r="AE86" s="35"/>
      <c r="AF86" s="36"/>
      <c r="AG86" s="89"/>
      <c r="AH86" s="32"/>
      <c r="AI86" s="33"/>
      <c r="AJ86" s="36"/>
      <c r="AK86" s="89"/>
      <c r="AL86" s="32"/>
      <c r="AM86" s="33"/>
      <c r="AN86" s="36"/>
      <c r="AO86" s="89"/>
      <c r="AP86" s="32"/>
      <c r="AQ86" s="33"/>
      <c r="AR86" s="36"/>
      <c r="AS86" s="89"/>
      <c r="AT86" s="270">
        <f t="shared" si="4"/>
        <v>0</v>
      </c>
      <c r="AU86" s="38">
        <f t="shared" si="5"/>
        <v>0</v>
      </c>
    </row>
    <row r="87" spans="2:47" s="26" customFormat="1" x14ac:dyDescent="0.25">
      <c r="B87" s="276"/>
      <c r="C87" s="432"/>
      <c r="D87" s="433"/>
      <c r="E87" s="304"/>
      <c r="F87" s="304"/>
      <c r="G87" s="30"/>
      <c r="H87" s="42"/>
      <c r="I87" s="274"/>
      <c r="J87" s="274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>
        <f t="shared" si="6"/>
        <v>0</v>
      </c>
      <c r="Z87" s="434"/>
      <c r="AA87" s="33"/>
      <c r="AB87" s="36"/>
      <c r="AC87" s="89"/>
      <c r="AD87" s="32"/>
      <c r="AE87" s="35"/>
      <c r="AF87" s="36"/>
      <c r="AG87" s="89"/>
      <c r="AH87" s="32"/>
      <c r="AI87" s="33"/>
      <c r="AJ87" s="36"/>
      <c r="AK87" s="89"/>
      <c r="AL87" s="32"/>
      <c r="AM87" s="33"/>
      <c r="AN87" s="36"/>
      <c r="AO87" s="89"/>
      <c r="AP87" s="32"/>
      <c r="AQ87" s="33"/>
      <c r="AR87" s="36"/>
      <c r="AS87" s="89"/>
      <c r="AT87" s="270">
        <f t="shared" si="4"/>
        <v>0</v>
      </c>
      <c r="AU87" s="38">
        <f t="shared" si="5"/>
        <v>0</v>
      </c>
    </row>
    <row r="88" spans="2:47" s="26" customFormat="1" x14ac:dyDescent="0.25">
      <c r="B88" s="276"/>
      <c r="C88" s="432"/>
      <c r="D88" s="433"/>
      <c r="E88" s="304"/>
      <c r="F88" s="304"/>
      <c r="G88" s="30"/>
      <c r="H88" s="42"/>
      <c r="I88" s="274"/>
      <c r="J88" s="274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>
        <f t="shared" si="6"/>
        <v>0</v>
      </c>
      <c r="Z88" s="434"/>
      <c r="AA88" s="33"/>
      <c r="AB88" s="34"/>
      <c r="AC88" s="90"/>
      <c r="AD88" s="32"/>
      <c r="AE88" s="35"/>
      <c r="AF88" s="36"/>
      <c r="AG88" s="89"/>
      <c r="AH88" s="32"/>
      <c r="AI88" s="33"/>
      <c r="AJ88" s="36"/>
      <c r="AK88" s="89"/>
      <c r="AL88" s="32"/>
      <c r="AM88" s="33"/>
      <c r="AN88" s="36"/>
      <c r="AO88" s="89"/>
      <c r="AP88" s="32"/>
      <c r="AQ88" s="33"/>
      <c r="AR88" s="36"/>
      <c r="AS88" s="89"/>
      <c r="AT88" s="270">
        <f t="shared" si="4"/>
        <v>0</v>
      </c>
      <c r="AU88" s="38">
        <f t="shared" si="5"/>
        <v>0</v>
      </c>
    </row>
    <row r="89" spans="2:47" s="26" customFormat="1" x14ac:dyDescent="0.25">
      <c r="B89" s="276"/>
      <c r="C89" s="432"/>
      <c r="D89" s="433"/>
      <c r="E89" s="304"/>
      <c r="F89" s="304"/>
      <c r="G89" s="30"/>
      <c r="H89" s="42"/>
      <c r="I89" s="274"/>
      <c r="J89" s="274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>
        <f t="shared" si="6"/>
        <v>0</v>
      </c>
      <c r="Z89" s="434"/>
      <c r="AA89" s="33"/>
      <c r="AB89" s="34"/>
      <c r="AC89" s="90"/>
      <c r="AD89" s="32"/>
      <c r="AE89" s="35"/>
      <c r="AF89" s="36"/>
      <c r="AG89" s="89"/>
      <c r="AH89" s="32"/>
      <c r="AI89" s="33"/>
      <c r="AJ89" s="36"/>
      <c r="AK89" s="89"/>
      <c r="AL89" s="32"/>
      <c r="AM89" s="33"/>
      <c r="AN89" s="36"/>
      <c r="AO89" s="89"/>
      <c r="AP89" s="32"/>
      <c r="AQ89" s="33"/>
      <c r="AR89" s="36"/>
      <c r="AS89" s="89"/>
      <c r="AT89" s="270">
        <f t="shared" si="4"/>
        <v>0</v>
      </c>
      <c r="AU89" s="38">
        <f t="shared" si="5"/>
        <v>0</v>
      </c>
    </row>
    <row r="90" spans="2:47" s="26" customFormat="1" x14ac:dyDescent="0.25">
      <c r="B90" s="276"/>
      <c r="C90" s="432"/>
      <c r="D90" s="28"/>
      <c r="E90" s="304"/>
      <c r="F90" s="304"/>
      <c r="G90" s="30"/>
      <c r="H90" s="42"/>
      <c r="I90" s="274"/>
      <c r="J90" s="274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>
        <f t="shared" si="6"/>
        <v>0</v>
      </c>
      <c r="Z90" s="434"/>
      <c r="AA90" s="33"/>
      <c r="AB90" s="34"/>
      <c r="AC90" s="90"/>
      <c r="AD90" s="32"/>
      <c r="AE90" s="35"/>
      <c r="AF90" s="36"/>
      <c r="AG90" s="89"/>
      <c r="AH90" s="32"/>
      <c r="AI90" s="33"/>
      <c r="AJ90" s="36"/>
      <c r="AK90" s="89"/>
      <c r="AL90" s="32"/>
      <c r="AM90" s="33"/>
      <c r="AN90" s="36"/>
      <c r="AO90" s="89"/>
      <c r="AP90" s="32"/>
      <c r="AQ90" s="33"/>
      <c r="AR90" s="36"/>
      <c r="AS90" s="89"/>
      <c r="AT90" s="270">
        <f t="shared" si="4"/>
        <v>0</v>
      </c>
      <c r="AU90" s="38">
        <f t="shared" si="5"/>
        <v>0</v>
      </c>
    </row>
    <row r="91" spans="2:47" s="26" customFormat="1" x14ac:dyDescent="0.25">
      <c r="B91" s="276"/>
      <c r="C91" s="432"/>
      <c r="D91" s="28"/>
      <c r="E91" s="304"/>
      <c r="F91" s="304"/>
      <c r="G91" s="30"/>
      <c r="H91" s="42"/>
      <c r="I91" s="274"/>
      <c r="J91" s="274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>
        <f t="shared" si="6"/>
        <v>0</v>
      </c>
      <c r="Z91" s="434"/>
      <c r="AA91" s="33"/>
      <c r="AB91" s="34"/>
      <c r="AC91" s="90"/>
      <c r="AD91" s="32"/>
      <c r="AE91" s="35"/>
      <c r="AF91" s="36"/>
      <c r="AG91" s="89"/>
      <c r="AH91" s="32"/>
      <c r="AI91" s="33"/>
      <c r="AJ91" s="36"/>
      <c r="AK91" s="89"/>
      <c r="AL91" s="32"/>
      <c r="AM91" s="33"/>
      <c r="AN91" s="36"/>
      <c r="AO91" s="89"/>
      <c r="AP91" s="32"/>
      <c r="AQ91" s="33"/>
      <c r="AR91" s="36"/>
      <c r="AS91" s="89"/>
      <c r="AT91" s="270">
        <f t="shared" si="4"/>
        <v>0</v>
      </c>
      <c r="AU91" s="38">
        <f t="shared" si="5"/>
        <v>0</v>
      </c>
    </row>
    <row r="92" spans="2:47" s="26" customFormat="1" x14ac:dyDescent="0.25">
      <c r="B92" s="276"/>
      <c r="C92" s="432"/>
      <c r="D92" s="28"/>
      <c r="E92" s="304"/>
      <c r="F92" s="304"/>
      <c r="G92" s="30"/>
      <c r="H92" s="42"/>
      <c r="I92" s="274"/>
      <c r="J92" s="274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>
        <f t="shared" si="6"/>
        <v>0</v>
      </c>
      <c r="Z92" s="434"/>
      <c r="AA92" s="33"/>
      <c r="AB92" s="34"/>
      <c r="AC92" s="90"/>
      <c r="AD92" s="32"/>
      <c r="AE92" s="35"/>
      <c r="AF92" s="36"/>
      <c r="AG92" s="89"/>
      <c r="AH92" s="32"/>
      <c r="AI92" s="33"/>
      <c r="AJ92" s="36"/>
      <c r="AK92" s="89"/>
      <c r="AL92" s="32"/>
      <c r="AM92" s="33"/>
      <c r="AN92" s="36"/>
      <c r="AO92" s="89"/>
      <c r="AP92" s="32"/>
      <c r="AQ92" s="33"/>
      <c r="AR92" s="36"/>
      <c r="AS92" s="89"/>
      <c r="AT92" s="270">
        <f t="shared" si="4"/>
        <v>0</v>
      </c>
      <c r="AU92" s="38">
        <f t="shared" si="5"/>
        <v>0</v>
      </c>
    </row>
    <row r="93" spans="2:47" s="26" customFormat="1" x14ac:dyDescent="0.25">
      <c r="B93" s="276"/>
      <c r="C93" s="432"/>
      <c r="D93" s="28"/>
      <c r="E93" s="304"/>
      <c r="F93" s="304"/>
      <c r="G93" s="30"/>
      <c r="H93" s="42"/>
      <c r="I93" s="274"/>
      <c r="J93" s="274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>
        <f t="shared" si="6"/>
        <v>0</v>
      </c>
      <c r="Z93" s="434"/>
      <c r="AA93" s="33"/>
      <c r="AB93" s="34"/>
      <c r="AC93" s="90"/>
      <c r="AD93" s="32"/>
      <c r="AE93" s="35"/>
      <c r="AF93" s="36"/>
      <c r="AG93" s="89"/>
      <c r="AH93" s="32"/>
      <c r="AI93" s="33"/>
      <c r="AJ93" s="36"/>
      <c r="AK93" s="89"/>
      <c r="AL93" s="32"/>
      <c r="AM93" s="33"/>
      <c r="AN93" s="36"/>
      <c r="AO93" s="89"/>
      <c r="AP93" s="32"/>
      <c r="AQ93" s="33"/>
      <c r="AR93" s="36"/>
      <c r="AS93" s="89"/>
      <c r="AT93" s="270">
        <f t="shared" si="4"/>
        <v>0</v>
      </c>
      <c r="AU93" s="38">
        <f t="shared" si="5"/>
        <v>0</v>
      </c>
    </row>
    <row r="94" spans="2:47" s="26" customFormat="1" x14ac:dyDescent="0.25">
      <c r="B94" s="276"/>
      <c r="C94" s="432"/>
      <c r="D94" s="28"/>
      <c r="E94" s="304"/>
      <c r="F94" s="304"/>
      <c r="G94" s="30"/>
      <c r="H94" s="42"/>
      <c r="I94" s="274"/>
      <c r="J94" s="274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>
        <f t="shared" si="6"/>
        <v>0</v>
      </c>
      <c r="Z94" s="434"/>
      <c r="AA94" s="33"/>
      <c r="AB94" s="36"/>
      <c r="AC94" s="89"/>
      <c r="AD94" s="32"/>
      <c r="AE94" s="35"/>
      <c r="AF94" s="36"/>
      <c r="AG94" s="89"/>
      <c r="AH94" s="32"/>
      <c r="AI94" s="33"/>
      <c r="AJ94" s="36"/>
      <c r="AK94" s="89"/>
      <c r="AL94" s="32"/>
      <c r="AM94" s="33"/>
      <c r="AN94" s="36"/>
      <c r="AO94" s="89"/>
      <c r="AP94" s="32"/>
      <c r="AQ94" s="33"/>
      <c r="AR94" s="36"/>
      <c r="AS94" s="89"/>
      <c r="AT94" s="270">
        <f t="shared" si="4"/>
        <v>0</v>
      </c>
      <c r="AU94" s="38">
        <f t="shared" si="5"/>
        <v>0</v>
      </c>
    </row>
    <row r="95" spans="2:47" s="26" customFormat="1" x14ac:dyDescent="0.25">
      <c r="B95" s="276"/>
      <c r="C95" s="432"/>
      <c r="D95" s="28"/>
      <c r="E95" s="304"/>
      <c r="F95" s="304"/>
      <c r="G95" s="30"/>
      <c r="H95" s="42"/>
      <c r="I95" s="274"/>
      <c r="J95" s="274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>
        <f t="shared" si="6"/>
        <v>0</v>
      </c>
      <c r="Z95" s="434"/>
      <c r="AA95" s="33"/>
      <c r="AB95" s="36"/>
      <c r="AC95" s="89"/>
      <c r="AD95" s="32"/>
      <c r="AE95" s="35"/>
      <c r="AF95" s="36"/>
      <c r="AG95" s="89"/>
      <c r="AH95" s="32"/>
      <c r="AI95" s="33"/>
      <c r="AJ95" s="36"/>
      <c r="AK95" s="89"/>
      <c r="AL95" s="32"/>
      <c r="AM95" s="33"/>
      <c r="AN95" s="36"/>
      <c r="AO95" s="89"/>
      <c r="AP95" s="32"/>
      <c r="AQ95" s="33"/>
      <c r="AR95" s="36"/>
      <c r="AS95" s="89"/>
      <c r="AT95" s="270">
        <f t="shared" si="4"/>
        <v>0</v>
      </c>
      <c r="AU95" s="38">
        <f t="shared" si="5"/>
        <v>0</v>
      </c>
    </row>
    <row r="96" spans="2:47" s="26" customFormat="1" x14ac:dyDescent="0.25">
      <c r="B96" s="276"/>
      <c r="C96" s="432"/>
      <c r="D96" s="28"/>
      <c r="E96" s="304"/>
      <c r="F96" s="304"/>
      <c r="G96" s="30"/>
      <c r="H96" s="42"/>
      <c r="I96" s="274"/>
      <c r="J96" s="274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>
        <f t="shared" si="6"/>
        <v>0</v>
      </c>
      <c r="Z96" s="434"/>
      <c r="AA96" s="33"/>
      <c r="AB96" s="36"/>
      <c r="AC96" s="89"/>
      <c r="AD96" s="32"/>
      <c r="AE96" s="35"/>
      <c r="AF96" s="36"/>
      <c r="AG96" s="89"/>
      <c r="AH96" s="32"/>
      <c r="AI96" s="33"/>
      <c r="AJ96" s="36"/>
      <c r="AK96" s="89"/>
      <c r="AL96" s="32"/>
      <c r="AM96" s="33"/>
      <c r="AN96" s="36"/>
      <c r="AO96" s="89"/>
      <c r="AP96" s="32"/>
      <c r="AQ96" s="33"/>
      <c r="AR96" s="36"/>
      <c r="AS96" s="89"/>
      <c r="AT96" s="270">
        <f t="shared" si="4"/>
        <v>0</v>
      </c>
      <c r="AU96" s="38">
        <f t="shared" si="5"/>
        <v>0</v>
      </c>
    </row>
    <row r="97" spans="2:47" s="26" customFormat="1" x14ac:dyDescent="0.25">
      <c r="B97" s="276"/>
      <c r="C97" s="432"/>
      <c r="D97" s="28"/>
      <c r="E97" s="304"/>
      <c r="F97" s="304"/>
      <c r="G97" s="30"/>
      <c r="H97" s="42"/>
      <c r="I97" s="274"/>
      <c r="J97" s="274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>
        <f t="shared" si="6"/>
        <v>0</v>
      </c>
      <c r="Z97" s="434"/>
      <c r="AA97" s="33"/>
      <c r="AB97" s="36"/>
      <c r="AC97" s="89"/>
      <c r="AD97" s="32"/>
      <c r="AE97" s="35"/>
      <c r="AF97" s="36"/>
      <c r="AG97" s="89"/>
      <c r="AH97" s="32"/>
      <c r="AI97" s="33"/>
      <c r="AJ97" s="36"/>
      <c r="AK97" s="89"/>
      <c r="AL97" s="32"/>
      <c r="AM97" s="33"/>
      <c r="AN97" s="36"/>
      <c r="AO97" s="89"/>
      <c r="AP97" s="32"/>
      <c r="AQ97" s="33"/>
      <c r="AR97" s="36"/>
      <c r="AS97" s="89"/>
      <c r="AT97" s="270">
        <f t="shared" si="4"/>
        <v>0</v>
      </c>
      <c r="AU97" s="38">
        <f t="shared" si="5"/>
        <v>0</v>
      </c>
    </row>
    <row r="98" spans="2:47" s="26" customFormat="1" ht="12" customHeight="1" x14ac:dyDescent="0.25">
      <c r="B98" s="276"/>
      <c r="C98" s="432"/>
      <c r="D98" s="28"/>
      <c r="E98" s="304"/>
      <c r="F98" s="304"/>
      <c r="G98" s="30"/>
      <c r="H98" s="42"/>
      <c r="I98" s="274"/>
      <c r="J98" s="274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>
        <f t="shared" si="6"/>
        <v>0</v>
      </c>
      <c r="Z98" s="434"/>
      <c r="AA98" s="33"/>
      <c r="AB98" s="36"/>
      <c r="AC98" s="89"/>
      <c r="AD98" s="32"/>
      <c r="AE98" s="35"/>
      <c r="AF98" s="36"/>
      <c r="AG98" s="89"/>
      <c r="AH98" s="32"/>
      <c r="AI98" s="33"/>
      <c r="AJ98" s="36"/>
      <c r="AK98" s="89"/>
      <c r="AL98" s="32"/>
      <c r="AM98" s="33"/>
      <c r="AN98" s="36"/>
      <c r="AO98" s="89"/>
      <c r="AP98" s="32"/>
      <c r="AQ98" s="33"/>
      <c r="AR98" s="36"/>
      <c r="AS98" s="89"/>
      <c r="AT98" s="270">
        <f t="shared" si="4"/>
        <v>0</v>
      </c>
      <c r="AU98" s="38">
        <f t="shared" si="5"/>
        <v>0</v>
      </c>
    </row>
    <row r="99" spans="2:47" s="26" customFormat="1" ht="12" customHeight="1" x14ac:dyDescent="0.25">
      <c r="B99" s="276"/>
      <c r="C99" s="432"/>
      <c r="D99" s="28"/>
      <c r="E99" s="304"/>
      <c r="F99" s="304"/>
      <c r="G99" s="30"/>
      <c r="H99" s="42"/>
      <c r="I99" s="274"/>
      <c r="J99" s="274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>
        <f t="shared" si="6"/>
        <v>0</v>
      </c>
      <c r="Z99" s="434"/>
      <c r="AA99" s="33"/>
      <c r="AB99" s="36"/>
      <c r="AC99" s="89"/>
      <c r="AD99" s="32"/>
      <c r="AE99" s="35"/>
      <c r="AF99" s="36"/>
      <c r="AG99" s="89"/>
      <c r="AH99" s="32"/>
      <c r="AI99" s="33"/>
      <c r="AJ99" s="36"/>
      <c r="AK99" s="89"/>
      <c r="AL99" s="32"/>
      <c r="AM99" s="33"/>
      <c r="AN99" s="36"/>
      <c r="AO99" s="89"/>
      <c r="AP99" s="32"/>
      <c r="AQ99" s="33"/>
      <c r="AR99" s="36"/>
      <c r="AS99" s="89"/>
      <c r="AT99" s="270">
        <f t="shared" si="4"/>
        <v>0</v>
      </c>
      <c r="AU99" s="38">
        <f t="shared" si="5"/>
        <v>0</v>
      </c>
    </row>
    <row r="100" spans="2:47" s="26" customFormat="1" ht="12" customHeight="1" x14ac:dyDescent="0.25">
      <c r="B100" s="276"/>
      <c r="C100" s="432"/>
      <c r="D100" s="28"/>
      <c r="E100" s="304"/>
      <c r="F100" s="304"/>
      <c r="G100" s="30"/>
      <c r="H100" s="42"/>
      <c r="I100" s="274"/>
      <c r="J100" s="274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>
        <f t="shared" si="6"/>
        <v>0</v>
      </c>
      <c r="Z100" s="434"/>
      <c r="AA100" s="33"/>
      <c r="AB100" s="34"/>
      <c r="AC100" s="90"/>
      <c r="AD100" s="32"/>
      <c r="AE100" s="35"/>
      <c r="AF100" s="36"/>
      <c r="AG100" s="89"/>
      <c r="AH100" s="32"/>
      <c r="AI100" s="33"/>
      <c r="AJ100" s="36"/>
      <c r="AK100" s="89"/>
      <c r="AL100" s="32"/>
      <c r="AM100" s="33"/>
      <c r="AN100" s="36"/>
      <c r="AO100" s="89"/>
      <c r="AP100" s="32"/>
      <c r="AQ100" s="33"/>
      <c r="AR100" s="36"/>
      <c r="AS100" s="89"/>
      <c r="AT100" s="270">
        <f t="shared" si="4"/>
        <v>0</v>
      </c>
      <c r="AU100" s="38">
        <f t="shared" si="5"/>
        <v>0</v>
      </c>
    </row>
    <row r="101" spans="2:47" s="26" customFormat="1" ht="12" customHeight="1" x14ac:dyDescent="0.25">
      <c r="B101" s="276"/>
      <c r="C101" s="432"/>
      <c r="D101" s="28"/>
      <c r="E101" s="304"/>
      <c r="F101" s="304"/>
      <c r="G101" s="30"/>
      <c r="H101" s="42"/>
      <c r="I101" s="274"/>
      <c r="J101" s="274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>
        <f t="shared" si="6"/>
        <v>0</v>
      </c>
      <c r="Z101" s="434"/>
      <c r="AA101" s="33"/>
      <c r="AB101" s="34"/>
      <c r="AC101" s="90"/>
      <c r="AD101" s="32"/>
      <c r="AE101" s="35"/>
      <c r="AF101" s="36"/>
      <c r="AG101" s="89"/>
      <c r="AH101" s="32"/>
      <c r="AI101" s="33"/>
      <c r="AJ101" s="36"/>
      <c r="AK101" s="89"/>
      <c r="AL101" s="32"/>
      <c r="AM101" s="33"/>
      <c r="AN101" s="36"/>
      <c r="AO101" s="89"/>
      <c r="AP101" s="32"/>
      <c r="AQ101" s="33"/>
      <c r="AR101" s="36"/>
      <c r="AS101" s="89"/>
      <c r="AT101" s="270">
        <f t="shared" si="4"/>
        <v>0</v>
      </c>
      <c r="AU101" s="38">
        <f t="shared" si="5"/>
        <v>0</v>
      </c>
    </row>
    <row r="102" spans="2:47" s="26" customFormat="1" ht="12" customHeight="1" x14ac:dyDescent="0.25">
      <c r="B102" s="276"/>
      <c r="C102" s="432"/>
      <c r="D102" s="28"/>
      <c r="E102" s="304"/>
      <c r="F102" s="304"/>
      <c r="G102" s="30"/>
      <c r="H102" s="42"/>
      <c r="I102" s="274"/>
      <c r="J102" s="274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>
        <f t="shared" si="6"/>
        <v>0</v>
      </c>
      <c r="Z102" s="434"/>
      <c r="AA102" s="33"/>
      <c r="AB102" s="34"/>
      <c r="AC102" s="90"/>
      <c r="AD102" s="32"/>
      <c r="AE102" s="35"/>
      <c r="AF102" s="36"/>
      <c r="AG102" s="89"/>
      <c r="AH102" s="32"/>
      <c r="AI102" s="33"/>
      <c r="AJ102" s="36"/>
      <c r="AK102" s="89"/>
      <c r="AL102" s="32"/>
      <c r="AM102" s="33"/>
      <c r="AN102" s="36"/>
      <c r="AO102" s="89"/>
      <c r="AP102" s="32"/>
      <c r="AQ102" s="33"/>
      <c r="AR102" s="36"/>
      <c r="AS102" s="89"/>
      <c r="AT102" s="270">
        <f t="shared" si="4"/>
        <v>0</v>
      </c>
      <c r="AU102" s="38">
        <f t="shared" si="5"/>
        <v>0</v>
      </c>
    </row>
    <row r="103" spans="2:47" s="26" customFormat="1" ht="12" customHeight="1" x14ac:dyDescent="0.25">
      <c r="B103" s="276"/>
      <c r="C103" s="432"/>
      <c r="D103" s="28"/>
      <c r="E103" s="304"/>
      <c r="F103" s="304"/>
      <c r="G103" s="30"/>
      <c r="H103" s="42"/>
      <c r="I103" s="274"/>
      <c r="J103" s="274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>
        <f t="shared" si="6"/>
        <v>0</v>
      </c>
      <c r="Z103" s="218"/>
      <c r="AA103" s="33"/>
      <c r="AB103" s="34"/>
      <c r="AC103" s="90"/>
      <c r="AD103" s="32"/>
      <c r="AE103" s="35"/>
      <c r="AF103" s="36"/>
      <c r="AG103" s="89"/>
      <c r="AH103" s="32"/>
      <c r="AI103" s="33"/>
      <c r="AJ103" s="36"/>
      <c r="AK103" s="89"/>
      <c r="AL103" s="32"/>
      <c r="AM103" s="33"/>
      <c r="AN103" s="36"/>
      <c r="AO103" s="89"/>
      <c r="AP103" s="32"/>
      <c r="AQ103" s="33"/>
      <c r="AR103" s="36"/>
      <c r="AS103" s="89"/>
      <c r="AT103" s="270">
        <f t="shared" si="4"/>
        <v>0</v>
      </c>
      <c r="AU103" s="38">
        <f t="shared" si="5"/>
        <v>0</v>
      </c>
    </row>
    <row r="104" spans="2:47" s="26" customFormat="1" ht="12" customHeight="1" x14ac:dyDescent="0.25">
      <c r="B104" s="276"/>
      <c r="C104" s="432"/>
      <c r="D104" s="28"/>
      <c r="E104" s="304"/>
      <c r="F104" s="304"/>
      <c r="G104" s="30"/>
      <c r="H104" s="42"/>
      <c r="I104" s="274"/>
      <c r="J104" s="274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>
        <f t="shared" si="6"/>
        <v>0</v>
      </c>
      <c r="Z104" s="218"/>
      <c r="AA104" s="33"/>
      <c r="AB104" s="34"/>
      <c r="AC104" s="90"/>
      <c r="AD104" s="32"/>
      <c r="AE104" s="35"/>
      <c r="AF104" s="36"/>
      <c r="AG104" s="89"/>
      <c r="AH104" s="32"/>
      <c r="AI104" s="33"/>
      <c r="AJ104" s="36"/>
      <c r="AK104" s="89"/>
      <c r="AL104" s="32"/>
      <c r="AM104" s="33"/>
      <c r="AN104" s="36"/>
      <c r="AO104" s="89"/>
      <c r="AP104" s="32"/>
      <c r="AQ104" s="33"/>
      <c r="AR104" s="36"/>
      <c r="AS104" s="89"/>
      <c r="AT104" s="270">
        <f t="shared" si="4"/>
        <v>0</v>
      </c>
      <c r="AU104" s="38">
        <f t="shared" si="5"/>
        <v>0</v>
      </c>
    </row>
    <row r="105" spans="2:47" s="26" customFormat="1" ht="12" customHeight="1" x14ac:dyDescent="0.25">
      <c r="B105" s="276"/>
      <c r="C105" s="432"/>
      <c r="D105" s="28"/>
      <c r="E105" s="304"/>
      <c r="F105" s="304"/>
      <c r="G105" s="30"/>
      <c r="H105" s="42"/>
      <c r="I105" s="274"/>
      <c r="J105" s="274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>
        <f t="shared" si="6"/>
        <v>0</v>
      </c>
      <c r="Z105" s="218"/>
      <c r="AA105" s="33"/>
      <c r="AB105" s="34"/>
      <c r="AC105" s="90"/>
      <c r="AD105" s="32"/>
      <c r="AE105" s="35"/>
      <c r="AF105" s="36"/>
      <c r="AG105" s="89"/>
      <c r="AH105" s="32"/>
      <c r="AI105" s="33"/>
      <c r="AJ105" s="36"/>
      <c r="AK105" s="89"/>
      <c r="AL105" s="32"/>
      <c r="AM105" s="33"/>
      <c r="AN105" s="36"/>
      <c r="AO105" s="89"/>
      <c r="AP105" s="32"/>
      <c r="AQ105" s="33"/>
      <c r="AR105" s="36"/>
      <c r="AS105" s="89"/>
      <c r="AT105" s="270">
        <f t="shared" si="4"/>
        <v>0</v>
      </c>
      <c r="AU105" s="38">
        <f t="shared" si="5"/>
        <v>0</v>
      </c>
    </row>
    <row r="106" spans="2:47" s="26" customFormat="1" ht="12" customHeight="1" x14ac:dyDescent="0.25">
      <c r="B106" s="276"/>
      <c r="C106" s="432"/>
      <c r="D106" s="28"/>
      <c r="E106" s="304"/>
      <c r="F106" s="304"/>
      <c r="G106" s="30"/>
      <c r="H106" s="42"/>
      <c r="I106" s="274"/>
      <c r="J106" s="274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>
        <f t="shared" si="6"/>
        <v>0</v>
      </c>
      <c r="Z106" s="218"/>
      <c r="AA106" s="33"/>
      <c r="AB106" s="36"/>
      <c r="AC106" s="89"/>
      <c r="AD106" s="32"/>
      <c r="AE106" s="35"/>
      <c r="AF106" s="36"/>
      <c r="AG106" s="89"/>
      <c r="AH106" s="32"/>
      <c r="AI106" s="33"/>
      <c r="AJ106" s="36"/>
      <c r="AK106" s="89"/>
      <c r="AL106" s="32"/>
      <c r="AM106" s="33"/>
      <c r="AN106" s="36"/>
      <c r="AO106" s="89"/>
      <c r="AP106" s="32"/>
      <c r="AQ106" s="33"/>
      <c r="AR106" s="36"/>
      <c r="AS106" s="89"/>
      <c r="AT106" s="270">
        <f t="shared" si="4"/>
        <v>0</v>
      </c>
      <c r="AU106" s="38">
        <f t="shared" si="5"/>
        <v>0</v>
      </c>
    </row>
    <row r="107" spans="2:47" s="26" customFormat="1" ht="12" customHeight="1" x14ac:dyDescent="0.25">
      <c r="B107" s="276"/>
      <c r="C107" s="432"/>
      <c r="D107" s="28"/>
      <c r="E107" s="304"/>
      <c r="F107" s="304"/>
      <c r="G107" s="30"/>
      <c r="H107" s="42"/>
      <c r="I107" s="274"/>
      <c r="J107" s="274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>
        <f t="shared" si="6"/>
        <v>0</v>
      </c>
      <c r="Z107" s="218"/>
      <c r="AA107" s="33"/>
      <c r="AB107" s="36"/>
      <c r="AC107" s="89"/>
      <c r="AD107" s="32"/>
      <c r="AE107" s="35"/>
      <c r="AF107" s="36"/>
      <c r="AG107" s="89"/>
      <c r="AH107" s="32"/>
      <c r="AI107" s="33"/>
      <c r="AJ107" s="36"/>
      <c r="AK107" s="89"/>
      <c r="AL107" s="32"/>
      <c r="AM107" s="33"/>
      <c r="AN107" s="36"/>
      <c r="AO107" s="89"/>
      <c r="AP107" s="32"/>
      <c r="AQ107" s="33"/>
      <c r="AR107" s="36"/>
      <c r="AS107" s="89"/>
      <c r="AT107" s="270">
        <f t="shared" si="4"/>
        <v>0</v>
      </c>
      <c r="AU107" s="38">
        <f t="shared" si="5"/>
        <v>0</v>
      </c>
    </row>
    <row r="108" spans="2:47" s="26" customFormat="1" ht="12" customHeight="1" x14ac:dyDescent="0.25">
      <c r="B108" s="276"/>
      <c r="C108" s="432"/>
      <c r="D108" s="28"/>
      <c r="E108" s="304"/>
      <c r="F108" s="304"/>
      <c r="G108" s="30"/>
      <c r="H108" s="42"/>
      <c r="I108" s="274"/>
      <c r="J108" s="274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>
        <f t="shared" si="6"/>
        <v>0</v>
      </c>
      <c r="Z108" s="218"/>
      <c r="AA108" s="33"/>
      <c r="AB108" s="36"/>
      <c r="AC108" s="89"/>
      <c r="AD108" s="32"/>
      <c r="AE108" s="35"/>
      <c r="AF108" s="36"/>
      <c r="AG108" s="89"/>
      <c r="AH108" s="32"/>
      <c r="AI108" s="33"/>
      <c r="AJ108" s="36"/>
      <c r="AK108" s="89"/>
      <c r="AL108" s="32"/>
      <c r="AM108" s="33"/>
      <c r="AN108" s="36"/>
      <c r="AO108" s="89"/>
      <c r="AP108" s="32"/>
      <c r="AQ108" s="33"/>
      <c r="AR108" s="36"/>
      <c r="AS108" s="89"/>
      <c r="AT108" s="270">
        <f t="shared" si="4"/>
        <v>0</v>
      </c>
      <c r="AU108" s="38">
        <f t="shared" si="5"/>
        <v>0</v>
      </c>
    </row>
    <row r="109" spans="2:47" s="26" customFormat="1" ht="12" customHeight="1" x14ac:dyDescent="0.25">
      <c r="B109" s="276"/>
      <c r="C109" s="432"/>
      <c r="D109" s="28"/>
      <c r="E109" s="304"/>
      <c r="F109" s="304"/>
      <c r="G109" s="30"/>
      <c r="H109" s="42"/>
      <c r="I109" s="274"/>
      <c r="J109" s="274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>
        <f t="shared" si="6"/>
        <v>0</v>
      </c>
      <c r="Z109" s="218"/>
      <c r="AA109" s="33"/>
      <c r="AB109" s="36"/>
      <c r="AC109" s="89"/>
      <c r="AD109" s="32"/>
      <c r="AE109" s="35"/>
      <c r="AF109" s="36"/>
      <c r="AG109" s="89"/>
      <c r="AH109" s="32"/>
      <c r="AI109" s="33"/>
      <c r="AJ109" s="36"/>
      <c r="AK109" s="89"/>
      <c r="AL109" s="32"/>
      <c r="AM109" s="33"/>
      <c r="AN109" s="36"/>
      <c r="AO109" s="89"/>
      <c r="AP109" s="32"/>
      <c r="AQ109" s="33"/>
      <c r="AR109" s="36"/>
      <c r="AS109" s="89"/>
      <c r="AT109" s="270">
        <f t="shared" si="4"/>
        <v>0</v>
      </c>
      <c r="AU109" s="38">
        <f t="shared" si="5"/>
        <v>0</v>
      </c>
    </row>
    <row r="110" spans="2:47" s="26" customFormat="1" ht="12" customHeight="1" x14ac:dyDescent="0.25">
      <c r="B110" s="276"/>
      <c r="C110" s="432"/>
      <c r="D110" s="28"/>
      <c r="E110" s="304"/>
      <c r="F110" s="304"/>
      <c r="G110" s="30"/>
      <c r="H110" s="42"/>
      <c r="I110" s="274"/>
      <c r="J110" s="274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>
        <f t="shared" si="6"/>
        <v>0</v>
      </c>
      <c r="Z110" s="218"/>
      <c r="AA110" s="33"/>
      <c r="AB110" s="36"/>
      <c r="AC110" s="89"/>
      <c r="AD110" s="32"/>
      <c r="AE110" s="35"/>
      <c r="AF110" s="36"/>
      <c r="AG110" s="89"/>
      <c r="AH110" s="32"/>
      <c r="AI110" s="33"/>
      <c r="AJ110" s="36"/>
      <c r="AK110" s="89"/>
      <c r="AL110" s="32"/>
      <c r="AM110" s="33"/>
      <c r="AN110" s="36"/>
      <c r="AO110" s="89"/>
      <c r="AP110" s="32"/>
      <c r="AQ110" s="33"/>
      <c r="AR110" s="36"/>
      <c r="AS110" s="89"/>
      <c r="AT110" s="270">
        <f t="shared" si="4"/>
        <v>0</v>
      </c>
      <c r="AU110" s="38">
        <f t="shared" si="5"/>
        <v>0</v>
      </c>
    </row>
    <row r="111" spans="2:47" s="26" customFormat="1" ht="12" customHeight="1" x14ac:dyDescent="0.25">
      <c r="B111" s="276"/>
      <c r="C111" s="432"/>
      <c r="D111" s="28"/>
      <c r="E111" s="304"/>
      <c r="F111" s="304"/>
      <c r="G111" s="30"/>
      <c r="H111" s="42"/>
      <c r="I111" s="274"/>
      <c r="J111" s="274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>
        <f t="shared" si="6"/>
        <v>0</v>
      </c>
      <c r="Z111" s="218"/>
      <c r="AA111" s="33"/>
      <c r="AB111" s="34"/>
      <c r="AC111" s="90"/>
      <c r="AD111" s="32"/>
      <c r="AE111" s="35"/>
      <c r="AF111" s="36"/>
      <c r="AG111" s="89"/>
      <c r="AH111" s="32"/>
      <c r="AI111" s="33"/>
      <c r="AJ111" s="36"/>
      <c r="AK111" s="89"/>
      <c r="AL111" s="32"/>
      <c r="AM111" s="33"/>
      <c r="AN111" s="36"/>
      <c r="AO111" s="89"/>
      <c r="AP111" s="32"/>
      <c r="AQ111" s="33"/>
      <c r="AR111" s="36"/>
      <c r="AS111" s="89"/>
      <c r="AT111" s="270">
        <f t="shared" si="4"/>
        <v>0</v>
      </c>
      <c r="AU111" s="38">
        <f t="shared" si="5"/>
        <v>0</v>
      </c>
    </row>
    <row r="112" spans="2:47" s="26" customFormat="1" ht="12" customHeight="1" x14ac:dyDescent="0.25">
      <c r="B112" s="276"/>
      <c r="C112" s="432"/>
      <c r="D112" s="28"/>
      <c r="E112" s="304"/>
      <c r="F112" s="304"/>
      <c r="G112" s="30"/>
      <c r="H112" s="42"/>
      <c r="I112" s="274"/>
      <c r="J112" s="274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>
        <f t="shared" si="6"/>
        <v>0</v>
      </c>
      <c r="Z112" s="218"/>
      <c r="AA112" s="33"/>
      <c r="AB112" s="34"/>
      <c r="AC112" s="90"/>
      <c r="AD112" s="32"/>
      <c r="AE112" s="35"/>
      <c r="AF112" s="36"/>
      <c r="AG112" s="89"/>
      <c r="AH112" s="32"/>
      <c r="AI112" s="33"/>
      <c r="AJ112" s="36"/>
      <c r="AK112" s="89"/>
      <c r="AL112" s="32"/>
      <c r="AM112" s="33"/>
      <c r="AN112" s="36"/>
      <c r="AO112" s="89"/>
      <c r="AP112" s="32"/>
      <c r="AQ112" s="33"/>
      <c r="AR112" s="36"/>
      <c r="AS112" s="89"/>
      <c r="AT112" s="270">
        <f t="shared" si="4"/>
        <v>0</v>
      </c>
      <c r="AU112" s="38">
        <f t="shared" si="5"/>
        <v>0</v>
      </c>
    </row>
    <row r="113" spans="2:47" s="26" customFormat="1" ht="12" customHeight="1" x14ac:dyDescent="0.25">
      <c r="B113" s="276"/>
      <c r="C113" s="432"/>
      <c r="D113" s="28"/>
      <c r="E113" s="304"/>
      <c r="F113" s="304"/>
      <c r="G113" s="30"/>
      <c r="H113" s="42"/>
      <c r="I113" s="274"/>
      <c r="J113" s="274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>
        <f t="shared" si="6"/>
        <v>0</v>
      </c>
      <c r="Z113" s="218"/>
      <c r="AA113" s="33"/>
      <c r="AB113" s="34"/>
      <c r="AC113" s="90"/>
      <c r="AD113" s="32"/>
      <c r="AE113" s="35"/>
      <c r="AF113" s="36"/>
      <c r="AG113" s="89"/>
      <c r="AH113" s="32"/>
      <c r="AI113" s="33"/>
      <c r="AJ113" s="36"/>
      <c r="AK113" s="89"/>
      <c r="AL113" s="32"/>
      <c r="AM113" s="33"/>
      <c r="AN113" s="36"/>
      <c r="AO113" s="89"/>
      <c r="AP113" s="32"/>
      <c r="AQ113" s="33"/>
      <c r="AR113" s="36"/>
      <c r="AS113" s="89"/>
      <c r="AT113" s="270">
        <f t="shared" si="4"/>
        <v>0</v>
      </c>
      <c r="AU113" s="38">
        <f t="shared" si="5"/>
        <v>0</v>
      </c>
    </row>
    <row r="114" spans="2:47" s="26" customFormat="1" ht="12" customHeight="1" x14ac:dyDescent="0.25">
      <c r="B114" s="276"/>
      <c r="C114" s="432"/>
      <c r="D114" s="28"/>
      <c r="E114" s="304"/>
      <c r="F114" s="304"/>
      <c r="G114" s="30"/>
      <c r="H114" s="42"/>
      <c r="I114" s="274"/>
      <c r="J114" s="274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>
        <f t="shared" si="6"/>
        <v>0</v>
      </c>
      <c r="Z114" s="218"/>
      <c r="AA114" s="33"/>
      <c r="AB114" s="34"/>
      <c r="AC114" s="90"/>
      <c r="AD114" s="32"/>
      <c r="AE114" s="35"/>
      <c r="AF114" s="36"/>
      <c r="AG114" s="89"/>
      <c r="AH114" s="32"/>
      <c r="AI114" s="33"/>
      <c r="AJ114" s="36"/>
      <c r="AK114" s="89"/>
      <c r="AL114" s="32"/>
      <c r="AM114" s="33"/>
      <c r="AN114" s="36"/>
      <c r="AO114" s="89"/>
      <c r="AP114" s="32"/>
      <c r="AQ114" s="33"/>
      <c r="AR114" s="36"/>
      <c r="AS114" s="89"/>
      <c r="AT114" s="270">
        <f t="shared" si="4"/>
        <v>0</v>
      </c>
      <c r="AU114" s="38">
        <f t="shared" si="5"/>
        <v>0</v>
      </c>
    </row>
    <row r="115" spans="2:47" s="26" customFormat="1" ht="12" customHeight="1" x14ac:dyDescent="0.25">
      <c r="B115" s="276"/>
      <c r="C115" s="432"/>
      <c r="D115" s="28"/>
      <c r="E115" s="304"/>
      <c r="F115" s="304"/>
      <c r="G115" s="30"/>
      <c r="H115" s="42"/>
      <c r="I115" s="274"/>
      <c r="J115" s="274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>
        <f t="shared" si="6"/>
        <v>0</v>
      </c>
      <c r="Z115" s="218"/>
      <c r="AA115" s="33"/>
      <c r="AB115" s="34"/>
      <c r="AC115" s="90"/>
      <c r="AD115" s="32"/>
      <c r="AE115" s="35"/>
      <c r="AF115" s="36"/>
      <c r="AG115" s="89"/>
      <c r="AH115" s="32"/>
      <c r="AI115" s="33"/>
      <c r="AJ115" s="36"/>
      <c r="AK115" s="89"/>
      <c r="AL115" s="32"/>
      <c r="AM115" s="33"/>
      <c r="AN115" s="36"/>
      <c r="AO115" s="89"/>
      <c r="AP115" s="32"/>
      <c r="AQ115" s="33"/>
      <c r="AR115" s="36"/>
      <c r="AS115" s="89"/>
      <c r="AT115" s="270">
        <f t="shared" si="4"/>
        <v>0</v>
      </c>
      <c r="AU115" s="38">
        <f t="shared" si="5"/>
        <v>0</v>
      </c>
    </row>
    <row r="116" spans="2:47" s="26" customFormat="1" ht="12" customHeight="1" x14ac:dyDescent="0.25">
      <c r="B116" s="276"/>
      <c r="C116" s="432"/>
      <c r="D116" s="28"/>
      <c r="E116" s="304"/>
      <c r="F116" s="304"/>
      <c r="G116" s="30"/>
      <c r="H116" s="42"/>
      <c r="I116" s="274"/>
      <c r="J116" s="274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>
        <f t="shared" si="6"/>
        <v>0</v>
      </c>
      <c r="Z116" s="218"/>
      <c r="AA116" s="33"/>
      <c r="AB116" s="34"/>
      <c r="AC116" s="90"/>
      <c r="AD116" s="32"/>
      <c r="AE116" s="35"/>
      <c r="AF116" s="36"/>
      <c r="AG116" s="89"/>
      <c r="AH116" s="32"/>
      <c r="AI116" s="33"/>
      <c r="AJ116" s="36"/>
      <c r="AK116" s="89"/>
      <c r="AL116" s="32"/>
      <c r="AM116" s="33"/>
      <c r="AN116" s="36"/>
      <c r="AO116" s="89"/>
      <c r="AP116" s="32"/>
      <c r="AQ116" s="33"/>
      <c r="AR116" s="36"/>
      <c r="AS116" s="89"/>
      <c r="AT116" s="270">
        <f t="shared" si="4"/>
        <v>0</v>
      </c>
      <c r="AU116" s="38">
        <f t="shared" si="5"/>
        <v>0</v>
      </c>
    </row>
    <row r="117" spans="2:47" s="26" customFormat="1" ht="12" customHeight="1" x14ac:dyDescent="0.25">
      <c r="B117" s="276"/>
      <c r="C117" s="432"/>
      <c r="D117" s="28"/>
      <c r="E117" s="304"/>
      <c r="F117" s="304"/>
      <c r="G117" s="30"/>
      <c r="H117" s="42"/>
      <c r="I117" s="274"/>
      <c r="J117" s="274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>
        <f t="shared" si="6"/>
        <v>0</v>
      </c>
      <c r="Z117" s="218"/>
      <c r="AA117" s="33"/>
      <c r="AB117" s="36"/>
      <c r="AC117" s="89"/>
      <c r="AD117" s="32"/>
      <c r="AE117" s="35"/>
      <c r="AF117" s="36"/>
      <c r="AG117" s="89"/>
      <c r="AH117" s="32"/>
      <c r="AI117" s="33"/>
      <c r="AJ117" s="36"/>
      <c r="AK117" s="89"/>
      <c r="AL117" s="32"/>
      <c r="AM117" s="33"/>
      <c r="AN117" s="36"/>
      <c r="AO117" s="89"/>
      <c r="AP117" s="32"/>
      <c r="AQ117" s="33"/>
      <c r="AR117" s="36"/>
      <c r="AS117" s="89"/>
      <c r="AT117" s="270">
        <f t="shared" si="4"/>
        <v>0</v>
      </c>
      <c r="AU117" s="38">
        <f t="shared" si="5"/>
        <v>0</v>
      </c>
    </row>
    <row r="118" spans="2:47" s="26" customFormat="1" ht="12" customHeight="1" x14ac:dyDescent="0.25">
      <c r="B118" s="276"/>
      <c r="C118" s="432"/>
      <c r="D118" s="28"/>
      <c r="E118" s="304"/>
      <c r="F118" s="304"/>
      <c r="G118" s="30"/>
      <c r="H118" s="42"/>
      <c r="I118" s="274"/>
      <c r="J118" s="274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>
        <f t="shared" si="6"/>
        <v>0</v>
      </c>
      <c r="Z118" s="218"/>
      <c r="AA118" s="33"/>
      <c r="AB118" s="36"/>
      <c r="AC118" s="89"/>
      <c r="AD118" s="32"/>
      <c r="AE118" s="35"/>
      <c r="AF118" s="36"/>
      <c r="AG118" s="89"/>
      <c r="AH118" s="32"/>
      <c r="AI118" s="33"/>
      <c r="AJ118" s="36"/>
      <c r="AK118" s="89"/>
      <c r="AL118" s="32"/>
      <c r="AM118" s="33"/>
      <c r="AN118" s="36"/>
      <c r="AO118" s="89"/>
      <c r="AP118" s="32"/>
      <c r="AQ118" s="33"/>
      <c r="AR118" s="36"/>
      <c r="AS118" s="89"/>
      <c r="AT118" s="270">
        <f t="shared" si="4"/>
        <v>0</v>
      </c>
      <c r="AU118" s="38">
        <f t="shared" si="5"/>
        <v>0</v>
      </c>
    </row>
    <row r="119" spans="2:47" s="26" customFormat="1" ht="12" customHeight="1" x14ac:dyDescent="0.25">
      <c r="B119" s="276"/>
      <c r="C119" s="432"/>
      <c r="D119" s="28"/>
      <c r="E119" s="304"/>
      <c r="F119" s="304"/>
      <c r="G119" s="30"/>
      <c r="H119" s="42"/>
      <c r="I119" s="274"/>
      <c r="J119" s="274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>
        <f t="shared" si="6"/>
        <v>0</v>
      </c>
      <c r="Z119" s="218"/>
      <c r="AA119" s="33"/>
      <c r="AB119" s="36"/>
      <c r="AC119" s="89"/>
      <c r="AD119" s="32"/>
      <c r="AE119" s="35"/>
      <c r="AF119" s="36"/>
      <c r="AG119" s="89"/>
      <c r="AH119" s="32"/>
      <c r="AI119" s="33"/>
      <c r="AJ119" s="36"/>
      <c r="AK119" s="89"/>
      <c r="AL119" s="32"/>
      <c r="AM119" s="33"/>
      <c r="AN119" s="36"/>
      <c r="AO119" s="89"/>
      <c r="AP119" s="32"/>
      <c r="AQ119" s="33"/>
      <c r="AR119" s="36"/>
      <c r="AS119" s="89"/>
      <c r="AT119" s="270">
        <f t="shared" si="4"/>
        <v>0</v>
      </c>
      <c r="AU119" s="38">
        <f t="shared" si="5"/>
        <v>0</v>
      </c>
    </row>
    <row r="120" spans="2:47" s="26" customFormat="1" ht="12" customHeight="1" x14ac:dyDescent="0.25">
      <c r="B120" s="276"/>
      <c r="C120" s="432"/>
      <c r="D120" s="28"/>
      <c r="E120" s="304"/>
      <c r="F120" s="304"/>
      <c r="G120" s="30"/>
      <c r="H120" s="42"/>
      <c r="I120" s="274"/>
      <c r="J120" s="274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>
        <f t="shared" si="6"/>
        <v>0</v>
      </c>
      <c r="Z120" s="218"/>
      <c r="AA120" s="33"/>
      <c r="AB120" s="36"/>
      <c r="AC120" s="89"/>
      <c r="AD120" s="32"/>
      <c r="AE120" s="35"/>
      <c r="AF120" s="36"/>
      <c r="AG120" s="89"/>
      <c r="AH120" s="32"/>
      <c r="AI120" s="33"/>
      <c r="AJ120" s="36"/>
      <c r="AK120" s="89"/>
      <c r="AL120" s="32"/>
      <c r="AM120" s="33"/>
      <c r="AN120" s="36"/>
      <c r="AO120" s="89"/>
      <c r="AP120" s="32"/>
      <c r="AQ120" s="33"/>
      <c r="AR120" s="36"/>
      <c r="AS120" s="89"/>
      <c r="AT120" s="270">
        <f t="shared" si="4"/>
        <v>0</v>
      </c>
      <c r="AU120" s="38">
        <f t="shared" si="5"/>
        <v>0</v>
      </c>
    </row>
    <row r="121" spans="2:47" s="26" customFormat="1" ht="12" customHeight="1" x14ac:dyDescent="0.25">
      <c r="B121" s="276"/>
      <c r="C121" s="276"/>
      <c r="D121" s="28"/>
      <c r="E121" s="304"/>
      <c r="F121" s="304"/>
      <c r="G121" s="30"/>
      <c r="H121" s="42"/>
      <c r="I121" s="110"/>
      <c r="J121" s="110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>
        <f t="shared" si="6"/>
        <v>0</v>
      </c>
      <c r="Z121" s="218"/>
      <c r="AA121" s="33"/>
      <c r="AB121" s="36"/>
      <c r="AC121" s="89"/>
      <c r="AD121" s="32"/>
      <c r="AE121" s="35"/>
      <c r="AF121" s="36"/>
      <c r="AG121" s="89"/>
      <c r="AH121" s="32"/>
      <c r="AI121" s="33"/>
      <c r="AJ121" s="36"/>
      <c r="AK121" s="89"/>
      <c r="AL121" s="32"/>
      <c r="AM121" s="33"/>
      <c r="AN121" s="36"/>
      <c r="AO121" s="89"/>
      <c r="AP121" s="32"/>
      <c r="AQ121" s="33"/>
      <c r="AR121" s="36"/>
      <c r="AS121" s="89"/>
      <c r="AT121" s="270">
        <f t="shared" ref="AT121" si="7">+Z121+AD121+AH121+AL121+AP121</f>
        <v>0</v>
      </c>
      <c r="AU121" s="38">
        <f t="shared" ref="AU121" si="8">+AT121-Y121</f>
        <v>0</v>
      </c>
    </row>
    <row r="122" spans="2:47" ht="15" customHeight="1" x14ac:dyDescent="0.2">
      <c r="B122" s="560" t="s">
        <v>40</v>
      </c>
      <c r="C122" s="561"/>
      <c r="D122" s="561"/>
      <c r="E122" s="561"/>
      <c r="F122" s="561"/>
      <c r="G122" s="561"/>
      <c r="H122" s="561"/>
      <c r="I122" s="562"/>
      <c r="J122" s="422">
        <f>SUBTOTAL(9,J16:J121)</f>
        <v>53787237</v>
      </c>
      <c r="K122" s="422">
        <f>SUBTOTAL(9,K16:K121)</f>
        <v>4961241</v>
      </c>
      <c r="L122" s="422">
        <f>SUBTOTAL(9,L16:L119)</f>
        <v>9953540</v>
      </c>
      <c r="M122" s="422">
        <f t="shared" ref="M122:Z122" si="9">SUBTOTAL(9,M16:M119)</f>
        <v>0</v>
      </c>
      <c r="N122" s="422">
        <f t="shared" si="9"/>
        <v>125699</v>
      </c>
      <c r="O122" s="422">
        <f t="shared" si="9"/>
        <v>426163</v>
      </c>
      <c r="P122" s="422">
        <f t="shared" si="9"/>
        <v>0</v>
      </c>
      <c r="Q122" s="422">
        <f t="shared" si="9"/>
        <v>0</v>
      </c>
      <c r="R122" s="422">
        <f t="shared" si="9"/>
        <v>0</v>
      </c>
      <c r="S122" s="422">
        <f t="shared" si="9"/>
        <v>0</v>
      </c>
      <c r="T122" s="422">
        <f t="shared" si="9"/>
        <v>0</v>
      </c>
      <c r="U122" s="422">
        <f t="shared" si="9"/>
        <v>0</v>
      </c>
      <c r="V122" s="422">
        <f t="shared" si="9"/>
        <v>0</v>
      </c>
      <c r="W122" s="422">
        <f t="shared" si="9"/>
        <v>0</v>
      </c>
      <c r="X122" s="422">
        <f t="shared" si="9"/>
        <v>0</v>
      </c>
      <c r="Y122" s="422">
        <f t="shared" si="9"/>
        <v>551862</v>
      </c>
      <c r="Z122" s="422">
        <f t="shared" si="9"/>
        <v>9821326</v>
      </c>
      <c r="AA122" s="422"/>
      <c r="AB122" s="422"/>
      <c r="AC122" s="422"/>
      <c r="AD122" s="422">
        <f t="shared" ref="AD122" si="10">SUBTOTAL(9,AD16:AD119)</f>
        <v>522256</v>
      </c>
      <c r="AE122" s="422"/>
      <c r="AF122" s="422"/>
      <c r="AG122" s="422"/>
      <c r="AH122" s="422">
        <f t="shared" ref="AH122" si="11">SUBTOTAL(9,AH16:AH119)</f>
        <v>0</v>
      </c>
      <c r="AI122" s="422"/>
      <c r="AJ122" s="422"/>
      <c r="AK122" s="422"/>
      <c r="AL122" s="422">
        <f t="shared" ref="AL122" si="12">SUBTOTAL(9,AL16:AL119)</f>
        <v>0</v>
      </c>
      <c r="AM122" s="422"/>
      <c r="AN122" s="422"/>
      <c r="AO122" s="422"/>
      <c r="AP122" s="422">
        <f t="shared" ref="AP122" si="13">SUBTOTAL(9,AP16:AP119)</f>
        <v>0</v>
      </c>
      <c r="AQ122" s="422"/>
      <c r="AR122" s="422"/>
      <c r="AS122" s="422"/>
      <c r="AT122" s="422">
        <f t="shared" ref="AT122" si="14">SUBTOTAL(9,AT16:AT119)</f>
        <v>10343582</v>
      </c>
      <c r="AU122" s="422">
        <f>SUBTOTAL(9,AU16:AU119)</f>
        <v>9791720</v>
      </c>
    </row>
    <row r="123" spans="2:47" ht="20.25" customHeight="1" x14ac:dyDescent="0.2">
      <c r="B123" s="537"/>
      <c r="C123" s="537"/>
      <c r="D123" s="537"/>
      <c r="E123" s="537"/>
      <c r="F123" s="44"/>
      <c r="G123" s="16"/>
      <c r="H123" s="16"/>
    </row>
    <row r="124" spans="2:47" ht="11.25" customHeight="1" x14ac:dyDescent="0.2">
      <c r="B124" s="538"/>
      <c r="C124" s="538"/>
      <c r="D124" s="538"/>
      <c r="E124" s="538"/>
      <c r="F124" s="538"/>
      <c r="G124" s="538"/>
      <c r="H124" s="538"/>
      <c r="I124" s="538"/>
      <c r="J124" s="538"/>
      <c r="K124" s="538"/>
      <c r="L124" s="538"/>
      <c r="M124" s="538"/>
      <c r="N124" s="538"/>
      <c r="O124" s="538"/>
      <c r="P124" s="538"/>
      <c r="Q124" s="538"/>
      <c r="R124" s="538"/>
      <c r="S124" s="538"/>
      <c r="T124" s="538"/>
      <c r="U124" s="538"/>
      <c r="V124" s="538"/>
      <c r="W124" s="538"/>
      <c r="X124" s="538"/>
      <c r="Y124" s="538"/>
      <c r="Z124" s="538"/>
      <c r="AA124" s="538"/>
      <c r="AB124" s="538"/>
      <c r="AC124" s="538"/>
      <c r="AD124" s="45"/>
      <c r="AE124" s="46"/>
      <c r="AF124" s="45"/>
      <c r="AG124" s="45"/>
      <c r="AH124" s="45"/>
      <c r="AI124" s="47"/>
      <c r="AJ124" s="45"/>
      <c r="AK124" s="45"/>
      <c r="AL124" s="45"/>
      <c r="AM124" s="47"/>
      <c r="AN124" s="45"/>
      <c r="AO124" s="45"/>
      <c r="AP124" s="45"/>
      <c r="AQ124" s="47"/>
      <c r="AR124" s="45"/>
      <c r="AS124" s="45"/>
      <c r="AT124" s="8"/>
    </row>
    <row r="125" spans="2:47" x14ac:dyDescent="0.2">
      <c r="AT125" s="8"/>
    </row>
    <row r="126" spans="2:47" x14ac:dyDescent="0.2">
      <c r="AD126" s="4">
        <v>522256</v>
      </c>
      <c r="AT126" s="8"/>
    </row>
    <row r="127" spans="2:47" x14ac:dyDescent="0.2">
      <c r="AT127" s="8"/>
    </row>
  </sheetData>
  <autoFilter ref="A15:AU121"/>
  <mergeCells count="16">
    <mergeCell ref="AT14:AU14"/>
    <mergeCell ref="B122:I122"/>
    <mergeCell ref="B123:E123"/>
    <mergeCell ref="B124:AC124"/>
    <mergeCell ref="B9:AC10"/>
    <mergeCell ref="Z14:AC14"/>
    <mergeCell ref="AD14:AG14"/>
    <mergeCell ref="AH14:AK14"/>
    <mergeCell ref="AL14:AO14"/>
    <mergeCell ref="AP14:AS14"/>
    <mergeCell ref="B8:AC8"/>
    <mergeCell ref="B1:AC2"/>
    <mergeCell ref="B3:AC4"/>
    <mergeCell ref="B5:AC5"/>
    <mergeCell ref="B6:AC6"/>
    <mergeCell ref="B7:AC7"/>
  </mergeCells>
  <conditionalFormatting sqref="D121">
    <cfRule type="duplicateValues" dxfId="5" priority="6"/>
  </conditionalFormatting>
  <conditionalFormatting sqref="D40:D66">
    <cfRule type="duplicateValues" dxfId="4" priority="4"/>
  </conditionalFormatting>
  <conditionalFormatting sqref="D40:D66">
    <cfRule type="duplicateValues" dxfId="3" priority="5"/>
  </conditionalFormatting>
  <conditionalFormatting sqref="D18:D39">
    <cfRule type="duplicateValues" dxfId="2" priority="2"/>
  </conditionalFormatting>
  <conditionalFormatting sqref="D18:D39">
    <cfRule type="duplicateValues" dxfId="1" priority="3"/>
  </conditionalFormatting>
  <conditionalFormatting sqref="D67:D120">
    <cfRule type="duplicateValues" dxfId="0" priority="1"/>
  </conditionalFormatting>
  <pageMargins left="0.7" right="0.7" top="0.75" bottom="0.75" header="0.3" footer="0.3"/>
  <pageSetup scale="30" orientation="portrait" r:id="rId1"/>
  <ignoredErrors>
    <ignoredError sqref="Y16:Y77" formulaRange="1"/>
    <ignoredError sqref="J4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2</vt:i4>
      </vt:variant>
    </vt:vector>
  </HeadingPairs>
  <TitlesOfParts>
    <vt:vector size="17" baseType="lpstr">
      <vt:lpstr>0561</vt:lpstr>
      <vt:lpstr>0562</vt:lpstr>
      <vt:lpstr> 0563</vt:lpstr>
      <vt:lpstr>0564</vt:lpstr>
      <vt:lpstr> 0565</vt:lpstr>
      <vt:lpstr> 0566</vt:lpstr>
      <vt:lpstr>0567</vt:lpstr>
      <vt:lpstr>0569</vt:lpstr>
      <vt:lpstr> 0570</vt:lpstr>
      <vt:lpstr>0571</vt:lpstr>
      <vt:lpstr> 0572</vt:lpstr>
      <vt:lpstr>0573</vt:lpstr>
      <vt:lpstr>0574</vt:lpstr>
      <vt:lpstr>0575</vt:lpstr>
      <vt:lpstr>0576</vt:lpstr>
      <vt:lpstr>'0575'!Área_de_impresión</vt:lpstr>
      <vt:lpstr>'0567'!Títulos_a_imprimir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SUBDERE</dc:creator>
  <cp:lastModifiedBy>Andrea Fabiola Lopez Cortes</cp:lastModifiedBy>
  <dcterms:created xsi:type="dcterms:W3CDTF">2021-04-13T21:18:15Z</dcterms:created>
  <dcterms:modified xsi:type="dcterms:W3CDTF">2021-05-06T15:00:35Z</dcterms:modified>
</cp:coreProperties>
</file>